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0760" windowHeight="10050"/>
  </bookViews>
  <sheets>
    <sheet name="Report" sheetId="1" r:id="rId1"/>
    <sheet name="Load Test Points" sheetId="4" r:id="rId2"/>
    <sheet name="Drop Down Lists" sheetId="5" r:id="rId3"/>
    <sheet name="Calibration Standards" sheetId="6" r:id="rId4"/>
  </sheets>
  <definedNames>
    <definedName name="_xlnm.Print_Area" localSheetId="0">Report!$B$3:$N$229</definedName>
  </definedNames>
  <calcPr calcId="145621"/>
</workbook>
</file>

<file path=xl/calcChain.xml><?xml version="1.0" encoding="utf-8"?>
<calcChain xmlns="http://schemas.openxmlformats.org/spreadsheetml/2006/main">
  <c r="AH56" i="1" l="1"/>
  <c r="AH60" i="1" s="1"/>
  <c r="AL211" i="1"/>
  <c r="AK211" i="1"/>
  <c r="AJ211" i="1"/>
  <c r="AL210" i="1"/>
  <c r="AK210" i="1"/>
  <c r="AJ210" i="1"/>
  <c r="AL209" i="1"/>
  <c r="AK209" i="1"/>
  <c r="AJ209" i="1"/>
  <c r="AL208" i="1"/>
  <c r="AK208" i="1"/>
  <c r="AJ208" i="1"/>
  <c r="AL207" i="1"/>
  <c r="AK207" i="1"/>
  <c r="AJ207" i="1"/>
  <c r="AJ196" i="1"/>
  <c r="AK196" i="1"/>
  <c r="AL196" i="1"/>
  <c r="AJ197" i="1"/>
  <c r="AK197" i="1"/>
  <c r="AL197" i="1"/>
  <c r="AJ198" i="1"/>
  <c r="AK198" i="1"/>
  <c r="AL198" i="1"/>
  <c r="AJ199" i="1"/>
  <c r="AK199" i="1"/>
  <c r="AL199" i="1"/>
  <c r="AL195" i="1"/>
  <c r="AK195" i="1"/>
  <c r="AJ195" i="1"/>
  <c r="D66" i="1"/>
  <c r="D65" i="1"/>
  <c r="E67" i="4"/>
  <c r="E66" i="4"/>
  <c r="E65" i="4"/>
  <c r="E64" i="4"/>
  <c r="E63" i="4"/>
  <c r="E62" i="4"/>
  <c r="E61" i="4"/>
  <c r="E60" i="4"/>
  <c r="E59" i="4"/>
  <c r="E58" i="4"/>
  <c r="E57" i="4"/>
  <c r="E56" i="4"/>
  <c r="E55" i="4"/>
  <c r="E54" i="4"/>
  <c r="E53" i="4"/>
  <c r="E52" i="4"/>
  <c r="E51" i="4"/>
  <c r="E50" i="4"/>
  <c r="E49" i="4"/>
  <c r="E48" i="4"/>
  <c r="E47" i="4"/>
  <c r="E46" i="4"/>
  <c r="E45" i="4"/>
  <c r="E44" i="4"/>
  <c r="E41" i="4"/>
  <c r="E40" i="4"/>
  <c r="E39" i="4"/>
  <c r="E38" i="4"/>
  <c r="E37" i="4"/>
  <c r="E36" i="4"/>
  <c r="E43" i="4"/>
  <c r="E42" i="4"/>
  <c r="E29" i="4"/>
  <c r="E30" i="4"/>
  <c r="E31" i="4"/>
  <c r="E32" i="4"/>
  <c r="E33" i="4"/>
  <c r="E34" i="4"/>
  <c r="E35" i="4"/>
  <c r="E28" i="4"/>
  <c r="P211" i="1"/>
  <c r="O211" i="1"/>
  <c r="K211" i="1"/>
  <c r="H211" i="1"/>
  <c r="E211" i="1"/>
  <c r="P210" i="1"/>
  <c r="O210" i="1"/>
  <c r="K210" i="1"/>
  <c r="H210" i="1"/>
  <c r="E210" i="1"/>
  <c r="P209" i="1"/>
  <c r="O209" i="1"/>
  <c r="K209" i="1"/>
  <c r="H209" i="1"/>
  <c r="E209" i="1"/>
  <c r="P208" i="1"/>
  <c r="O208" i="1"/>
  <c r="K208" i="1"/>
  <c r="H208" i="1"/>
  <c r="E208" i="1"/>
  <c r="L208" i="1" s="1"/>
  <c r="P207" i="1"/>
  <c r="O207" i="1"/>
  <c r="K207" i="1"/>
  <c r="H207" i="1"/>
  <c r="E207" i="1"/>
  <c r="AD206" i="1"/>
  <c r="AC206" i="1"/>
  <c r="AB206" i="1"/>
  <c r="AA206" i="1"/>
  <c r="M71" i="1"/>
  <c r="AM208" i="1" l="1"/>
  <c r="AH59" i="1"/>
  <c r="L210" i="1"/>
  <c r="AH62" i="1"/>
  <c r="AH61" i="1"/>
  <c r="L209" i="1"/>
  <c r="L207" i="1"/>
  <c r="K71" i="1" s="1"/>
  <c r="AP55" i="1" s="1"/>
  <c r="L211" i="1"/>
  <c r="AM211" i="1"/>
  <c r="H71" i="1"/>
  <c r="AM55" i="1" s="1"/>
  <c r="W209" i="1"/>
  <c r="X209" i="1" s="1"/>
  <c r="Z209" i="1" s="1"/>
  <c r="AM210" i="1"/>
  <c r="AM195" i="1"/>
  <c r="AM198" i="1"/>
  <c r="AM199" i="1"/>
  <c r="AM196" i="1"/>
  <c r="AM197" i="1"/>
  <c r="D71" i="1"/>
  <c r="AI55" i="1" s="1"/>
  <c r="W208" i="1"/>
  <c r="X208" i="1" s="1"/>
  <c r="Z208" i="1" s="1"/>
  <c r="W210" i="1"/>
  <c r="X210" i="1" s="1"/>
  <c r="Z210" i="1" s="1"/>
  <c r="W211" i="1"/>
  <c r="X211" i="1" s="1"/>
  <c r="Z211" i="1" s="1"/>
  <c r="AM209" i="1"/>
  <c r="W207" i="1"/>
  <c r="X207" i="1" s="1"/>
  <c r="Z207" i="1" s="1"/>
  <c r="AM207" i="1"/>
  <c r="AD194" i="1"/>
  <c r="AD208" i="1" s="1"/>
  <c r="F71" i="1" l="1"/>
  <c r="AK55" i="1" s="1"/>
  <c r="J71" i="1"/>
  <c r="AO55" i="1" s="1"/>
  <c r="I71" i="1"/>
  <c r="AN55" i="1" s="1"/>
  <c r="AD207" i="1"/>
  <c r="AD210" i="1"/>
  <c r="AD211" i="1"/>
  <c r="AD209" i="1"/>
  <c r="AC194" i="1"/>
  <c r="AB194" i="1"/>
  <c r="AA194" i="1"/>
  <c r="O196" i="1"/>
  <c r="P196" i="1"/>
  <c r="O197" i="1"/>
  <c r="P197" i="1"/>
  <c r="O198" i="1"/>
  <c r="P198" i="1"/>
  <c r="O199" i="1"/>
  <c r="P199" i="1"/>
  <c r="P195" i="1"/>
  <c r="O195" i="1"/>
  <c r="W196" i="1" l="1"/>
  <c r="X196" i="1" s="1"/>
  <c r="Z196" i="1" s="1"/>
  <c r="W198" i="1"/>
  <c r="X198" i="1" s="1"/>
  <c r="Z198" i="1" s="1"/>
  <c r="W199" i="1"/>
  <c r="X199" i="1" s="1"/>
  <c r="W197" i="1"/>
  <c r="X197" i="1" s="1"/>
  <c r="Z197" i="1" s="1"/>
  <c r="W195" i="1"/>
  <c r="X195" i="1" s="1"/>
  <c r="Z195" i="1" s="1"/>
  <c r="AB209" i="1"/>
  <c r="AB208" i="1"/>
  <c r="AB207" i="1"/>
  <c r="AB211" i="1"/>
  <c r="AB210" i="1"/>
  <c r="AC211" i="1"/>
  <c r="AC210" i="1"/>
  <c r="AC209" i="1"/>
  <c r="AC208" i="1"/>
  <c r="AC207" i="1"/>
  <c r="AA210" i="1"/>
  <c r="AA209" i="1"/>
  <c r="AA208" i="1"/>
  <c r="AA207" i="1"/>
  <c r="AA211" i="1"/>
  <c r="AD199" i="1"/>
  <c r="AD195" i="1"/>
  <c r="AD198" i="1"/>
  <c r="AD196" i="1"/>
  <c r="AD197" i="1"/>
  <c r="AC198" i="1"/>
  <c r="AC199" i="1"/>
  <c r="AC196" i="1"/>
  <c r="AC195" i="1"/>
  <c r="AC197" i="1"/>
  <c r="AA196" i="1"/>
  <c r="AA195" i="1"/>
  <c r="AA197" i="1"/>
  <c r="AA198" i="1"/>
  <c r="AA199" i="1"/>
  <c r="AB197" i="1"/>
  <c r="AB198" i="1"/>
  <c r="AB199" i="1"/>
  <c r="AB196" i="1"/>
  <c r="AB195" i="1"/>
  <c r="K199" i="1"/>
  <c r="K198" i="1"/>
  <c r="K197" i="1"/>
  <c r="K196" i="1"/>
  <c r="K195" i="1"/>
  <c r="H199" i="1"/>
  <c r="H198" i="1"/>
  <c r="H197" i="1"/>
  <c r="H196" i="1"/>
  <c r="H195" i="1"/>
  <c r="E196" i="1"/>
  <c r="E197" i="1"/>
  <c r="L197" i="1" s="1"/>
  <c r="E198" i="1"/>
  <c r="L198" i="1" s="1"/>
  <c r="E199" i="1"/>
  <c r="L199" i="1" s="1"/>
  <c r="E195" i="1"/>
  <c r="L195" i="1" l="1"/>
  <c r="E71" i="1" s="1"/>
  <c r="AJ55" i="1" s="1"/>
  <c r="L196" i="1"/>
  <c r="AE207" i="1"/>
  <c r="AF207" i="1" s="1"/>
  <c r="AH207" i="1" s="1"/>
  <c r="AE208" i="1"/>
  <c r="AF208" i="1" s="1"/>
  <c r="AH208" i="1" s="1"/>
  <c r="AE209" i="1"/>
  <c r="AF209" i="1" s="1"/>
  <c r="AH209" i="1" s="1"/>
  <c r="Z199" i="1"/>
  <c r="AE199" i="1" s="1"/>
  <c r="AF199" i="1" s="1"/>
  <c r="AH199" i="1" s="1"/>
  <c r="N199" i="1" s="1"/>
  <c r="AE211" i="1"/>
  <c r="AF211" i="1" s="1"/>
  <c r="AH211" i="1" s="1"/>
  <c r="N211" i="1" s="1"/>
  <c r="AE210" i="1"/>
  <c r="AF210" i="1" s="1"/>
  <c r="AH210" i="1" s="1"/>
  <c r="N210" i="1" s="1"/>
  <c r="AE197" i="1"/>
  <c r="AF197" i="1" s="1"/>
  <c r="AH197" i="1" s="1"/>
  <c r="N197" i="1" s="1"/>
  <c r="AE198" i="1"/>
  <c r="AF198" i="1" s="1"/>
  <c r="AH198" i="1" s="1"/>
  <c r="N198" i="1" s="1"/>
  <c r="AE195" i="1"/>
  <c r="AF195" i="1" s="1"/>
  <c r="AH195" i="1" s="1"/>
  <c r="N195" i="1" s="1"/>
  <c r="AE196" i="1"/>
  <c r="AF196" i="1" s="1"/>
  <c r="AH196" i="1" s="1"/>
  <c r="N196" i="1" s="1"/>
  <c r="D28" i="1"/>
  <c r="G71" i="1" l="1"/>
  <c r="AL55" i="1" s="1"/>
  <c r="AG207" i="1"/>
  <c r="M207" i="1" s="1"/>
  <c r="N207" i="1"/>
  <c r="AG209" i="1"/>
  <c r="M209" i="1" s="1"/>
  <c r="N209" i="1"/>
  <c r="AG208" i="1"/>
  <c r="M208" i="1" s="1"/>
  <c r="N208" i="1"/>
  <c r="AG211" i="1"/>
  <c r="M211" i="1" s="1"/>
  <c r="AG210" i="1"/>
  <c r="M210" i="1" s="1"/>
  <c r="AG197" i="1"/>
  <c r="M197" i="1" s="1"/>
  <c r="AG198" i="1"/>
  <c r="M198" i="1" s="1"/>
  <c r="AG196" i="1"/>
  <c r="M196" i="1" s="1"/>
  <c r="AG195" i="1"/>
  <c r="M195" i="1" s="1"/>
  <c r="AG199" i="1"/>
  <c r="M199" i="1" s="1"/>
  <c r="L64" i="1"/>
  <c r="K64" i="1"/>
  <c r="C64" i="1"/>
  <c r="F18" i="1"/>
  <c r="D36" i="1"/>
  <c r="H37" i="1"/>
  <c r="I37" i="1"/>
  <c r="J37" i="1"/>
  <c r="K37" i="1"/>
  <c r="L37" i="1"/>
  <c r="G37" i="1"/>
  <c r="E37" i="1"/>
  <c r="D37" i="1"/>
  <c r="G38" i="1"/>
  <c r="H38" i="1"/>
  <c r="I38" i="1"/>
  <c r="J38" i="1"/>
  <c r="K38" i="1"/>
  <c r="L38" i="1"/>
  <c r="G39" i="1"/>
  <c r="H39" i="1"/>
  <c r="I39" i="1"/>
  <c r="J39" i="1"/>
  <c r="K39" i="1"/>
  <c r="L39" i="1"/>
  <c r="G40" i="1"/>
  <c r="H40" i="1"/>
  <c r="I40" i="1"/>
  <c r="J40" i="1"/>
  <c r="K40" i="1"/>
  <c r="L40" i="1"/>
  <c r="G41" i="1"/>
  <c r="H41" i="1"/>
  <c r="I41" i="1"/>
  <c r="J41" i="1"/>
  <c r="K41" i="1"/>
  <c r="L41" i="1"/>
  <c r="G42" i="1"/>
  <c r="H42" i="1"/>
  <c r="I42" i="1"/>
  <c r="J42" i="1"/>
  <c r="K42" i="1"/>
  <c r="L42" i="1"/>
  <c r="G43" i="1"/>
  <c r="H43" i="1"/>
  <c r="I43" i="1"/>
  <c r="J43" i="1"/>
  <c r="K43" i="1"/>
  <c r="L43" i="1"/>
  <c r="G44" i="1"/>
  <c r="H44" i="1"/>
  <c r="I44" i="1"/>
  <c r="J44" i="1"/>
  <c r="K44" i="1"/>
  <c r="L44" i="1"/>
  <c r="G45" i="1"/>
  <c r="H45" i="1"/>
  <c r="I45" i="1"/>
  <c r="J45" i="1"/>
  <c r="K45" i="1"/>
  <c r="L45" i="1"/>
  <c r="G46" i="1"/>
  <c r="H46" i="1"/>
  <c r="I46" i="1"/>
  <c r="J46" i="1"/>
  <c r="K46" i="1"/>
  <c r="L46" i="1"/>
  <c r="G47" i="1"/>
  <c r="H47" i="1"/>
  <c r="I47" i="1"/>
  <c r="J47" i="1"/>
  <c r="K47" i="1"/>
  <c r="L47" i="1"/>
  <c r="D47" i="1"/>
  <c r="E47" i="1"/>
  <c r="E46" i="1"/>
  <c r="E45" i="1"/>
  <c r="D45" i="1"/>
  <c r="D46" i="1"/>
  <c r="E38" i="1"/>
  <c r="E39" i="1"/>
  <c r="E40" i="1"/>
  <c r="E41" i="1"/>
  <c r="E42" i="1"/>
  <c r="E43" i="1"/>
  <c r="E44" i="1"/>
  <c r="D38" i="1"/>
  <c r="D39" i="1"/>
  <c r="D40" i="1"/>
  <c r="D41" i="1"/>
  <c r="D42" i="1"/>
  <c r="D43" i="1"/>
  <c r="D44" i="1"/>
  <c r="L34" i="1"/>
  <c r="L35" i="1"/>
  <c r="K34" i="1"/>
  <c r="K35" i="1"/>
  <c r="J34" i="1"/>
  <c r="J35" i="1"/>
  <c r="I34" i="1"/>
  <c r="I35" i="1"/>
  <c r="H34" i="1"/>
  <c r="H35" i="1"/>
  <c r="G34" i="1"/>
  <c r="G35" i="1"/>
  <c r="E34" i="1"/>
  <c r="E35" i="1"/>
  <c r="D34" i="1"/>
  <c r="D35" i="1"/>
  <c r="L33" i="1"/>
  <c r="K33" i="1"/>
  <c r="J33" i="1"/>
  <c r="I33" i="1"/>
  <c r="H33" i="1"/>
  <c r="G33" i="1"/>
  <c r="E33" i="1"/>
  <c r="D33" i="1"/>
  <c r="L36" i="1"/>
  <c r="K36" i="1"/>
  <c r="J36" i="1"/>
  <c r="I36" i="1"/>
  <c r="H36" i="1"/>
  <c r="G36" i="1"/>
  <c r="P154" i="1" l="1"/>
  <c r="B154" i="1"/>
  <c r="P153" i="1"/>
  <c r="B153" i="1"/>
  <c r="P152" i="1"/>
  <c r="B152" i="1"/>
  <c r="P151" i="1"/>
  <c r="B151" i="1"/>
  <c r="P150" i="1"/>
  <c r="B150" i="1"/>
  <c r="B149" i="1"/>
  <c r="B148" i="1"/>
  <c r="B147" i="1"/>
  <c r="B146" i="1"/>
  <c r="B145" i="1"/>
  <c r="AB144" i="1"/>
  <c r="AA144" i="1"/>
  <c r="AQ143" i="1"/>
  <c r="AP143" i="1"/>
  <c r="P139" i="1"/>
  <c r="B139" i="1"/>
  <c r="P138" i="1"/>
  <c r="B138" i="1"/>
  <c r="P137" i="1"/>
  <c r="B137" i="1"/>
  <c r="P136" i="1"/>
  <c r="B136" i="1"/>
  <c r="B135" i="1"/>
  <c r="B134" i="1"/>
  <c r="B133" i="1"/>
  <c r="B132" i="1"/>
  <c r="P131" i="1"/>
  <c r="B131" i="1"/>
  <c r="P130" i="1"/>
  <c r="B130" i="1"/>
  <c r="AR129" i="1"/>
  <c r="AB129" i="1"/>
  <c r="AA129" i="1"/>
  <c r="AQ128" i="1"/>
  <c r="AP128" i="1"/>
  <c r="U132" i="1" l="1"/>
  <c r="AE132" i="1" s="1"/>
  <c r="T132" i="1"/>
  <c r="AD132" i="1" s="1"/>
  <c r="S132" i="1"/>
  <c r="AC132" i="1" s="1"/>
  <c r="U145" i="1"/>
  <c r="AE145" i="1" s="1"/>
  <c r="T145" i="1"/>
  <c r="AD145" i="1" s="1"/>
  <c r="S145" i="1"/>
  <c r="AC145" i="1" s="1"/>
  <c r="U149" i="1"/>
  <c r="AE149" i="1" s="1"/>
  <c r="T149" i="1"/>
  <c r="AD149" i="1" s="1"/>
  <c r="S149" i="1"/>
  <c r="AC149" i="1" s="1"/>
  <c r="S134" i="1"/>
  <c r="AC134" i="1" s="1"/>
  <c r="U134" i="1"/>
  <c r="AE134" i="1" s="1"/>
  <c r="T134" i="1"/>
  <c r="AD134" i="1" s="1"/>
  <c r="U137" i="1"/>
  <c r="AE137" i="1" s="1"/>
  <c r="T137" i="1"/>
  <c r="AD137" i="1" s="1"/>
  <c r="S137" i="1"/>
  <c r="AC137" i="1" s="1"/>
  <c r="T139" i="1"/>
  <c r="AD139" i="1" s="1"/>
  <c r="S139" i="1"/>
  <c r="AC139" i="1" s="1"/>
  <c r="U139" i="1"/>
  <c r="AE139" i="1" s="1"/>
  <c r="U146" i="1"/>
  <c r="AE146" i="1" s="1"/>
  <c r="T146" i="1"/>
  <c r="AD146" i="1" s="1"/>
  <c r="S146" i="1"/>
  <c r="AC146" i="1" s="1"/>
  <c r="U136" i="1"/>
  <c r="AE136" i="1" s="1"/>
  <c r="T136" i="1"/>
  <c r="AD136" i="1" s="1"/>
  <c r="S136" i="1"/>
  <c r="AC136" i="1" s="1"/>
  <c r="T148" i="1"/>
  <c r="AD148" i="1" s="1"/>
  <c r="S148" i="1"/>
  <c r="AC148" i="1" s="1"/>
  <c r="U148" i="1"/>
  <c r="AE148" i="1" s="1"/>
  <c r="T131" i="1"/>
  <c r="AD131" i="1" s="1"/>
  <c r="S131" i="1"/>
  <c r="AC131" i="1" s="1"/>
  <c r="U131" i="1"/>
  <c r="AE131" i="1" s="1"/>
  <c r="T135" i="1"/>
  <c r="AD135" i="1" s="1"/>
  <c r="S135" i="1"/>
  <c r="AC135" i="1" s="1"/>
  <c r="U135" i="1"/>
  <c r="AE135" i="1" s="1"/>
  <c r="S147" i="1"/>
  <c r="AC147" i="1" s="1"/>
  <c r="U147" i="1"/>
  <c r="AE147" i="1" s="1"/>
  <c r="T147" i="1"/>
  <c r="AD147" i="1" s="1"/>
  <c r="T152" i="1"/>
  <c r="AD152" i="1" s="1"/>
  <c r="S152" i="1"/>
  <c r="AC152" i="1" s="1"/>
  <c r="U152" i="1"/>
  <c r="AE152" i="1" s="1"/>
  <c r="U154" i="1"/>
  <c r="AE154" i="1" s="1"/>
  <c r="T154" i="1"/>
  <c r="AD154" i="1" s="1"/>
  <c r="S154" i="1"/>
  <c r="AC154" i="1" s="1"/>
  <c r="S130" i="1"/>
  <c r="AC130" i="1" s="1"/>
  <c r="U130" i="1"/>
  <c r="AE130" i="1" s="1"/>
  <c r="T130" i="1"/>
  <c r="AD130" i="1" s="1"/>
  <c r="S138" i="1"/>
  <c r="AC138" i="1" s="1"/>
  <c r="U138" i="1"/>
  <c r="AE138" i="1" s="1"/>
  <c r="T138" i="1"/>
  <c r="AD138" i="1" s="1"/>
  <c r="U150" i="1"/>
  <c r="AE150" i="1" s="1"/>
  <c r="T150" i="1"/>
  <c r="AD150" i="1" s="1"/>
  <c r="S150" i="1"/>
  <c r="AC150" i="1" s="1"/>
  <c r="U133" i="1"/>
  <c r="AE133" i="1" s="1"/>
  <c r="T133" i="1"/>
  <c r="AD133" i="1" s="1"/>
  <c r="S133" i="1"/>
  <c r="AC133" i="1" s="1"/>
  <c r="S151" i="1"/>
  <c r="AC151" i="1" s="1"/>
  <c r="U151" i="1"/>
  <c r="AE151" i="1" s="1"/>
  <c r="T151" i="1"/>
  <c r="AD151" i="1" s="1"/>
  <c r="U153" i="1"/>
  <c r="AE153" i="1" s="1"/>
  <c r="T153" i="1"/>
  <c r="AD153" i="1" s="1"/>
  <c r="S153" i="1"/>
  <c r="AC153" i="1" s="1"/>
  <c r="BC132" i="1"/>
  <c r="BC134" i="1"/>
  <c r="BC137" i="1"/>
  <c r="BC139" i="1"/>
  <c r="BC153" i="1"/>
  <c r="BC131" i="1"/>
  <c r="BC135" i="1"/>
  <c r="BC152" i="1"/>
  <c r="BC147" i="1"/>
  <c r="BC145" i="1"/>
  <c r="BC138" i="1"/>
  <c r="BC154" i="1"/>
  <c r="BC151" i="1"/>
  <c r="BC150" i="1"/>
  <c r="BC149" i="1"/>
  <c r="BC130" i="1"/>
  <c r="BC136" i="1"/>
  <c r="BC133" i="1"/>
  <c r="BC148" i="1"/>
  <c r="BC146" i="1"/>
  <c r="P147" i="1"/>
  <c r="P145" i="1"/>
  <c r="P146" i="1"/>
  <c r="P134" i="1"/>
  <c r="P135" i="1"/>
  <c r="P148" i="1"/>
  <c r="P149" i="1"/>
  <c r="P133" i="1"/>
  <c r="P132" i="1"/>
  <c r="I153" i="1" l="1"/>
  <c r="C153" i="1"/>
  <c r="F153" i="1"/>
  <c r="I135" i="1"/>
  <c r="C135" i="1"/>
  <c r="F135" i="1"/>
  <c r="F136" i="1"/>
  <c r="C136" i="1"/>
  <c r="I136" i="1"/>
  <c r="I131" i="1"/>
  <c r="C131" i="1"/>
  <c r="F131" i="1"/>
  <c r="C151" i="1"/>
  <c r="F151" i="1"/>
  <c r="I151" i="1"/>
  <c r="I150" i="1"/>
  <c r="C150" i="1"/>
  <c r="F150" i="1"/>
  <c r="C130" i="1"/>
  <c r="I130" i="1"/>
  <c r="F130" i="1"/>
  <c r="F137" i="1"/>
  <c r="C137" i="1"/>
  <c r="I137" i="1"/>
  <c r="F132" i="1"/>
  <c r="C132" i="1"/>
  <c r="I132" i="1"/>
  <c r="F133" i="1"/>
  <c r="I133" i="1"/>
  <c r="C133" i="1"/>
  <c r="I138" i="1"/>
  <c r="F138" i="1"/>
  <c r="C138" i="1"/>
  <c r="I154" i="1"/>
  <c r="C154" i="1"/>
  <c r="F154" i="1"/>
  <c r="C152" i="1"/>
  <c r="F152" i="1"/>
  <c r="I152" i="1"/>
  <c r="C147" i="1"/>
  <c r="F147" i="1"/>
  <c r="I147" i="1"/>
  <c r="C148" i="1"/>
  <c r="F148" i="1"/>
  <c r="H148" i="1" s="1"/>
  <c r="BE151" i="1" s="1"/>
  <c r="I148" i="1"/>
  <c r="I134" i="1"/>
  <c r="C134" i="1"/>
  <c r="F134" i="1"/>
  <c r="I145" i="1"/>
  <c r="C145" i="1"/>
  <c r="F145" i="1"/>
  <c r="C146" i="1"/>
  <c r="F146" i="1"/>
  <c r="I146" i="1"/>
  <c r="F139" i="1"/>
  <c r="I139" i="1"/>
  <c r="C139" i="1"/>
  <c r="I149" i="1"/>
  <c r="C149" i="1"/>
  <c r="F149" i="1"/>
  <c r="AH138" i="1"/>
  <c r="AM138" i="1"/>
  <c r="AH147" i="1"/>
  <c r="AM147" i="1"/>
  <c r="AM146" i="1"/>
  <c r="AH146" i="1"/>
  <c r="AH149" i="1"/>
  <c r="AM149" i="1"/>
  <c r="AF153" i="1"/>
  <c r="AK153" i="1"/>
  <c r="AH151" i="1"/>
  <c r="AM151" i="1"/>
  <c r="AM133" i="1"/>
  <c r="AH133" i="1"/>
  <c r="AL138" i="1"/>
  <c r="AG138" i="1"/>
  <c r="AH130" i="1"/>
  <c r="AM130" i="1"/>
  <c r="AM154" i="1"/>
  <c r="AH154" i="1"/>
  <c r="AL147" i="1"/>
  <c r="AG147" i="1"/>
  <c r="AK135" i="1"/>
  <c r="AF135" i="1"/>
  <c r="AG131" i="1"/>
  <c r="AL131" i="1"/>
  <c r="AF136" i="1"/>
  <c r="AK136" i="1"/>
  <c r="AG146" i="1"/>
  <c r="AL146" i="1"/>
  <c r="AG139" i="1"/>
  <c r="AL139" i="1"/>
  <c r="AL134" i="1"/>
  <c r="AG134" i="1"/>
  <c r="AL149" i="1"/>
  <c r="AG149" i="1"/>
  <c r="AH145" i="1"/>
  <c r="AM145" i="1"/>
  <c r="AL153" i="1"/>
  <c r="AG153" i="1"/>
  <c r="AK150" i="1"/>
  <c r="AF150" i="1"/>
  <c r="AM152" i="1"/>
  <c r="AH152" i="1"/>
  <c r="AM148" i="1"/>
  <c r="AH148" i="1"/>
  <c r="AM134" i="1"/>
  <c r="AH134" i="1"/>
  <c r="AH153" i="1"/>
  <c r="AM153" i="1"/>
  <c r="AK133" i="1"/>
  <c r="AF133" i="1"/>
  <c r="AG150" i="1"/>
  <c r="AL150" i="1"/>
  <c r="AF138" i="1"/>
  <c r="AK138" i="1"/>
  <c r="AF154" i="1"/>
  <c r="AK154" i="1"/>
  <c r="AK152" i="1"/>
  <c r="AF152" i="1"/>
  <c r="AF147" i="1"/>
  <c r="AK147" i="1"/>
  <c r="AM131" i="1"/>
  <c r="AH131" i="1"/>
  <c r="AK148" i="1"/>
  <c r="AF148" i="1"/>
  <c r="AH136" i="1"/>
  <c r="AM136" i="1"/>
  <c r="AM139" i="1"/>
  <c r="AH139" i="1"/>
  <c r="AL137" i="1"/>
  <c r="AG137" i="1"/>
  <c r="AF134" i="1"/>
  <c r="AK134" i="1"/>
  <c r="AF145" i="1"/>
  <c r="AK145" i="1"/>
  <c r="AL132" i="1"/>
  <c r="AG132" i="1"/>
  <c r="AF151" i="1"/>
  <c r="AK151" i="1"/>
  <c r="AK130" i="1"/>
  <c r="AF130" i="1"/>
  <c r="AL135" i="1"/>
  <c r="AG135" i="1"/>
  <c r="AL136" i="1"/>
  <c r="AG136" i="1"/>
  <c r="AK137" i="1"/>
  <c r="AF137" i="1"/>
  <c r="AF132" i="1"/>
  <c r="AK132" i="1"/>
  <c r="AL151" i="1"/>
  <c r="AG151" i="1"/>
  <c r="AL133" i="1"/>
  <c r="AG133" i="1"/>
  <c r="AM150" i="1"/>
  <c r="AH150" i="1"/>
  <c r="H130" i="1"/>
  <c r="BE130" i="1" s="1"/>
  <c r="AG130" i="1"/>
  <c r="AL130" i="1"/>
  <c r="AG154" i="1"/>
  <c r="AL154" i="1"/>
  <c r="AG152" i="1"/>
  <c r="AL152" i="1"/>
  <c r="AN152" i="1" s="1"/>
  <c r="AM135" i="1"/>
  <c r="AH135" i="1"/>
  <c r="AF131" i="1"/>
  <c r="AK131" i="1"/>
  <c r="AG148" i="1"/>
  <c r="AL148" i="1"/>
  <c r="AN148" i="1" s="1"/>
  <c r="AK146" i="1"/>
  <c r="AF146" i="1"/>
  <c r="AK139" i="1"/>
  <c r="AF139" i="1"/>
  <c r="AM137" i="1"/>
  <c r="AH137" i="1"/>
  <c r="AF149" i="1"/>
  <c r="AK149" i="1"/>
  <c r="AL145" i="1"/>
  <c r="AG145" i="1"/>
  <c r="AH132" i="1"/>
  <c r="AM132" i="1"/>
  <c r="B102" i="1"/>
  <c r="B101" i="1"/>
  <c r="B100" i="1"/>
  <c r="B99" i="1"/>
  <c r="B98" i="1"/>
  <c r="B97" i="1"/>
  <c r="B96" i="1"/>
  <c r="B95" i="1"/>
  <c r="B94" i="1"/>
  <c r="B93" i="1"/>
  <c r="P102" i="1"/>
  <c r="P101" i="1"/>
  <c r="P100" i="1"/>
  <c r="P99" i="1"/>
  <c r="AR92" i="1"/>
  <c r="AB92" i="1"/>
  <c r="AA92" i="1"/>
  <c r="AQ91" i="1"/>
  <c r="AP91" i="1"/>
  <c r="AN154" i="1" l="1"/>
  <c r="AN134" i="1"/>
  <c r="AO134" i="1" s="1"/>
  <c r="AI150" i="1"/>
  <c r="AJ150" i="1" s="1"/>
  <c r="AN145" i="1"/>
  <c r="AN151" i="1"/>
  <c r="AI138" i="1"/>
  <c r="AJ138" i="1" s="1"/>
  <c r="AI131" i="1"/>
  <c r="AJ131" i="1" s="1"/>
  <c r="AN139" i="1"/>
  <c r="AO139" i="1" s="1"/>
  <c r="AI153" i="1"/>
  <c r="AJ153" i="1" s="1"/>
  <c r="AI139" i="1"/>
  <c r="AJ139" i="1" s="1"/>
  <c r="AN138" i="1"/>
  <c r="AO138" i="1" s="1"/>
  <c r="H145" i="1"/>
  <c r="BE154" i="1" s="1"/>
  <c r="H137" i="1"/>
  <c r="BE137" i="1" s="1"/>
  <c r="AN131" i="1"/>
  <c r="AO131" i="1" s="1"/>
  <c r="K151" i="1"/>
  <c r="AI134" i="1"/>
  <c r="AJ134" i="1" s="1"/>
  <c r="K131" i="1"/>
  <c r="H131" i="1"/>
  <c r="BE131" i="1" s="1"/>
  <c r="K132" i="1"/>
  <c r="H132" i="1"/>
  <c r="BE132" i="1" s="1"/>
  <c r="AI137" i="1"/>
  <c r="AJ137" i="1" s="1"/>
  <c r="AI130" i="1"/>
  <c r="AJ130" i="1" s="1"/>
  <c r="H151" i="1"/>
  <c r="BE148" i="1" s="1"/>
  <c r="K134" i="1"/>
  <c r="H138" i="1"/>
  <c r="BE138" i="1" s="1"/>
  <c r="K138" i="1"/>
  <c r="AN149" i="1"/>
  <c r="AN146" i="1"/>
  <c r="K136" i="1"/>
  <c r="H136" i="1"/>
  <c r="BE136" i="1" s="1"/>
  <c r="H133" i="1"/>
  <c r="BE133" i="1" s="1"/>
  <c r="AI147" i="1"/>
  <c r="AJ147" i="1" s="1"/>
  <c r="AN132" i="1"/>
  <c r="AO132" i="1" s="1"/>
  <c r="AN137" i="1"/>
  <c r="AO137" i="1" s="1"/>
  <c r="AN130" i="1"/>
  <c r="AO130" i="1" s="1"/>
  <c r="K145" i="1"/>
  <c r="K148" i="1"/>
  <c r="AI133" i="1"/>
  <c r="AJ133" i="1" s="1"/>
  <c r="AN153" i="1"/>
  <c r="K146" i="1"/>
  <c r="AI136" i="1"/>
  <c r="AJ136" i="1" s="1"/>
  <c r="K135" i="1"/>
  <c r="H135" i="1"/>
  <c r="BE135" i="1" s="1"/>
  <c r="K147" i="1"/>
  <c r="AI151" i="1"/>
  <c r="AJ151" i="1" s="1"/>
  <c r="K139" i="1"/>
  <c r="H139" i="1"/>
  <c r="BE139" i="1" s="1"/>
  <c r="H146" i="1"/>
  <c r="BE153" i="1" s="1"/>
  <c r="AI132" i="1"/>
  <c r="AJ132" i="1" s="1"/>
  <c r="K130" i="1"/>
  <c r="H152" i="1"/>
  <c r="BE147" i="1" s="1"/>
  <c r="K152" i="1"/>
  <c r="K154" i="1"/>
  <c r="H154" i="1"/>
  <c r="BE145" i="1" s="1"/>
  <c r="AN150" i="1"/>
  <c r="AN133" i="1"/>
  <c r="AO133" i="1" s="1"/>
  <c r="AI152" i="1"/>
  <c r="AJ152" i="1" s="1"/>
  <c r="H153" i="1"/>
  <c r="BE146" i="1" s="1"/>
  <c r="AI145" i="1"/>
  <c r="AJ145" i="1" s="1"/>
  <c r="H134" i="1"/>
  <c r="BE134" i="1" s="1"/>
  <c r="AI135" i="1"/>
  <c r="AJ135" i="1" s="1"/>
  <c r="AN147" i="1"/>
  <c r="K153" i="1"/>
  <c r="AI149" i="1"/>
  <c r="AJ149" i="1" s="1"/>
  <c r="K149" i="1"/>
  <c r="H149" i="1"/>
  <c r="BE150" i="1" s="1"/>
  <c r="K137" i="1"/>
  <c r="H147" i="1"/>
  <c r="BE152" i="1" s="1"/>
  <c r="K150" i="1"/>
  <c r="K133" i="1"/>
  <c r="AI148" i="1"/>
  <c r="AJ148" i="1" s="1"/>
  <c r="H150" i="1"/>
  <c r="BE149" i="1" s="1"/>
  <c r="AN136" i="1"/>
  <c r="AO136" i="1" s="1"/>
  <c r="AN135" i="1"/>
  <c r="AO135" i="1" s="1"/>
  <c r="AI154" i="1"/>
  <c r="AJ154" i="1" s="1"/>
  <c r="AI146" i="1"/>
  <c r="AJ146" i="1" s="1"/>
  <c r="T96" i="1"/>
  <c r="AD96" i="1" s="1"/>
  <c r="S96" i="1"/>
  <c r="AC96" i="1" s="1"/>
  <c r="U96" i="1"/>
  <c r="AE96" i="1" s="1"/>
  <c r="T100" i="1"/>
  <c r="AD100" i="1" s="1"/>
  <c r="S100" i="1"/>
  <c r="AC100" i="1" s="1"/>
  <c r="U100" i="1"/>
  <c r="AE100" i="1" s="1"/>
  <c r="U93" i="1"/>
  <c r="AE93" i="1" s="1"/>
  <c r="T93" i="1"/>
  <c r="AD93" i="1" s="1"/>
  <c r="S93" i="1"/>
  <c r="AC93" i="1" s="1"/>
  <c r="U97" i="1"/>
  <c r="AE97" i="1" s="1"/>
  <c r="T97" i="1"/>
  <c r="AD97" i="1" s="1"/>
  <c r="S97" i="1"/>
  <c r="AC97" i="1" s="1"/>
  <c r="U101" i="1"/>
  <c r="AE101" i="1" s="1"/>
  <c r="T101" i="1"/>
  <c r="AD101" i="1" s="1"/>
  <c r="S101" i="1"/>
  <c r="AC101" i="1" s="1"/>
  <c r="U98" i="1"/>
  <c r="AE98" i="1" s="1"/>
  <c r="T98" i="1"/>
  <c r="AD98" i="1" s="1"/>
  <c r="S98" i="1"/>
  <c r="AC98" i="1" s="1"/>
  <c r="U102" i="1"/>
  <c r="AE102" i="1" s="1"/>
  <c r="T102" i="1"/>
  <c r="AD102" i="1" s="1"/>
  <c r="S102" i="1"/>
  <c r="AC102" i="1" s="1"/>
  <c r="U94" i="1"/>
  <c r="AE94" i="1" s="1"/>
  <c r="T94" i="1"/>
  <c r="AD94" i="1" s="1"/>
  <c r="S94" i="1"/>
  <c r="AC94" i="1" s="1"/>
  <c r="S95" i="1"/>
  <c r="AC95" i="1" s="1"/>
  <c r="U95" i="1"/>
  <c r="AE95" i="1" s="1"/>
  <c r="T95" i="1"/>
  <c r="AD95" i="1" s="1"/>
  <c r="S99" i="1"/>
  <c r="AC99" i="1" s="1"/>
  <c r="U99" i="1"/>
  <c r="AE99" i="1" s="1"/>
  <c r="T99" i="1"/>
  <c r="AD99" i="1" s="1"/>
  <c r="BC96" i="1"/>
  <c r="BC99" i="1"/>
  <c r="BC95" i="1"/>
  <c r="BC102" i="1"/>
  <c r="BC98" i="1"/>
  <c r="BC94" i="1"/>
  <c r="BC100" i="1"/>
  <c r="BC101" i="1"/>
  <c r="BC97" i="1"/>
  <c r="BC93" i="1"/>
  <c r="P95" i="1"/>
  <c r="P94" i="1"/>
  <c r="P98" i="1"/>
  <c r="P96" i="1"/>
  <c r="P97" i="1"/>
  <c r="P93" i="1"/>
  <c r="AR77" i="1"/>
  <c r="F95" i="1" l="1"/>
  <c r="I95" i="1"/>
  <c r="C95" i="1"/>
  <c r="I102" i="1"/>
  <c r="C102" i="1"/>
  <c r="F102" i="1"/>
  <c r="I93" i="1"/>
  <c r="C93" i="1"/>
  <c r="F93" i="1"/>
  <c r="I100" i="1"/>
  <c r="F100" i="1"/>
  <c r="C100" i="1"/>
  <c r="F94" i="1"/>
  <c r="I94" i="1"/>
  <c r="C94" i="1"/>
  <c r="I97" i="1"/>
  <c r="C97" i="1"/>
  <c r="F97" i="1"/>
  <c r="I99" i="1"/>
  <c r="F99" i="1"/>
  <c r="C99" i="1"/>
  <c r="I101" i="1"/>
  <c r="C101" i="1"/>
  <c r="F101" i="1"/>
  <c r="I98" i="1"/>
  <c r="C98" i="1"/>
  <c r="F98" i="1"/>
  <c r="F96" i="1"/>
  <c r="I96" i="1"/>
  <c r="C96" i="1"/>
  <c r="AK99" i="1"/>
  <c r="AF99" i="1"/>
  <c r="AF94" i="1"/>
  <c r="AK94" i="1"/>
  <c r="AL102" i="1"/>
  <c r="AG102" i="1"/>
  <c r="AM98" i="1"/>
  <c r="AH98" i="1"/>
  <c r="AF97" i="1"/>
  <c r="AK97" i="1"/>
  <c r="AL93" i="1"/>
  <c r="AG93" i="1"/>
  <c r="AG100" i="1"/>
  <c r="AL100" i="1"/>
  <c r="E150" i="1"/>
  <c r="O150" i="1"/>
  <c r="AR150" i="1" s="1"/>
  <c r="E137" i="1"/>
  <c r="O137" i="1"/>
  <c r="AR137" i="1" s="1"/>
  <c r="O146" i="1"/>
  <c r="AR146" i="1" s="1"/>
  <c r="E146" i="1"/>
  <c r="O149" i="1"/>
  <c r="AR149" i="1" s="1"/>
  <c r="E149" i="1"/>
  <c r="E148" i="1"/>
  <c r="O148" i="1"/>
  <c r="AR148" i="1" s="1"/>
  <c r="E134" i="1"/>
  <c r="O134" i="1"/>
  <c r="AR134" i="1" s="1"/>
  <c r="AL95" i="1"/>
  <c r="AG95" i="1"/>
  <c r="AL94" i="1"/>
  <c r="AG94" i="1"/>
  <c r="AH102" i="1"/>
  <c r="AM102" i="1"/>
  <c r="AF101" i="1"/>
  <c r="AK101" i="1"/>
  <c r="AG97" i="1"/>
  <c r="AL97" i="1"/>
  <c r="AH93" i="1"/>
  <c r="AM93" i="1"/>
  <c r="AH96" i="1"/>
  <c r="AM96" i="1"/>
  <c r="E153" i="1"/>
  <c r="O153" i="1"/>
  <c r="AR153" i="1" s="1"/>
  <c r="E130" i="1"/>
  <c r="O130" i="1"/>
  <c r="AR130" i="1" s="1"/>
  <c r="E136" i="1"/>
  <c r="O136" i="1"/>
  <c r="AR136" i="1" s="1"/>
  <c r="E138" i="1"/>
  <c r="O138" i="1"/>
  <c r="AR138" i="1" s="1"/>
  <c r="E131" i="1"/>
  <c r="O131" i="1"/>
  <c r="AR131" i="1" s="1"/>
  <c r="AG99" i="1"/>
  <c r="AL99" i="1"/>
  <c r="AM95" i="1"/>
  <c r="AH95" i="1"/>
  <c r="AM94" i="1"/>
  <c r="AH94" i="1"/>
  <c r="AF98" i="1"/>
  <c r="AK98" i="1"/>
  <c r="AL101" i="1"/>
  <c r="AG101" i="1"/>
  <c r="AH97" i="1"/>
  <c r="AM97" i="1"/>
  <c r="AM100" i="1"/>
  <c r="AH100" i="1"/>
  <c r="AK96" i="1"/>
  <c r="AF96" i="1"/>
  <c r="O152" i="1"/>
  <c r="AR152" i="1" s="1"/>
  <c r="E152" i="1"/>
  <c r="E145" i="1"/>
  <c r="O145" i="1"/>
  <c r="AR145" i="1" s="1"/>
  <c r="E151" i="1"/>
  <c r="O151" i="1"/>
  <c r="AR151" i="1" s="1"/>
  <c r="E132" i="1"/>
  <c r="O132" i="1"/>
  <c r="AR132" i="1" s="1"/>
  <c r="AH99" i="1"/>
  <c r="AM99" i="1"/>
  <c r="AF95" i="1"/>
  <c r="AK95" i="1"/>
  <c r="AK102" i="1"/>
  <c r="AF102" i="1"/>
  <c r="AL98" i="1"/>
  <c r="AG98" i="1"/>
  <c r="AM101" i="1"/>
  <c r="AH101" i="1"/>
  <c r="AF93" i="1"/>
  <c r="AK93" i="1"/>
  <c r="AF100" i="1"/>
  <c r="AK100" i="1"/>
  <c r="AL96" i="1"/>
  <c r="AG96" i="1"/>
  <c r="O133" i="1"/>
  <c r="AR133" i="1" s="1"/>
  <c r="E133" i="1"/>
  <c r="O147" i="1"/>
  <c r="AR147" i="1" s="1"/>
  <c r="E147" i="1"/>
  <c r="O154" i="1"/>
  <c r="E154" i="1"/>
  <c r="E139" i="1"/>
  <c r="O139" i="1"/>
  <c r="AR139" i="1" s="1"/>
  <c r="E135" i="1"/>
  <c r="O135" i="1"/>
  <c r="AR135" i="1" s="1"/>
  <c r="AI102" i="1" l="1"/>
  <c r="AJ102" i="1" s="1"/>
  <c r="AN94" i="1"/>
  <c r="AO94" i="1" s="1"/>
  <c r="AI93" i="1"/>
  <c r="AJ93" i="1" s="1"/>
  <c r="H66" i="1"/>
  <c r="H65" i="1"/>
  <c r="I23" i="1" s="1"/>
  <c r="AI96" i="1"/>
  <c r="AJ96" i="1" s="1"/>
  <c r="AN100" i="1"/>
  <c r="AO100" i="1" s="1"/>
  <c r="AN93" i="1"/>
  <c r="AO93" i="1" s="1"/>
  <c r="AI99" i="1"/>
  <c r="AJ99" i="1" s="1"/>
  <c r="H94" i="1"/>
  <c r="BE101" i="1" s="1"/>
  <c r="AS135" i="1"/>
  <c r="W135" i="1"/>
  <c r="BD145" i="1"/>
  <c r="L154" i="1"/>
  <c r="BD133" i="1"/>
  <c r="L133" i="1"/>
  <c r="K93" i="1"/>
  <c r="H93" i="1"/>
  <c r="BE102" i="1" s="1"/>
  <c r="H95" i="1"/>
  <c r="BE100" i="1" s="1"/>
  <c r="BD132" i="1"/>
  <c r="L132" i="1"/>
  <c r="BD154" i="1"/>
  <c r="L145" i="1"/>
  <c r="AN98" i="1"/>
  <c r="AO98" i="1" s="1"/>
  <c r="AN99" i="1"/>
  <c r="AO99" i="1" s="1"/>
  <c r="AS131" i="1"/>
  <c r="W131" i="1"/>
  <c r="AS136" i="1"/>
  <c r="W136" i="1"/>
  <c r="AS153" i="1"/>
  <c r="W153" i="1"/>
  <c r="AN101" i="1"/>
  <c r="AO101" i="1" s="1"/>
  <c r="K95" i="1"/>
  <c r="BD134" i="1"/>
  <c r="L134" i="1"/>
  <c r="AS149" i="1"/>
  <c r="W149" i="1"/>
  <c r="BD137" i="1"/>
  <c r="L137" i="1"/>
  <c r="K94" i="1"/>
  <c r="BD135" i="1"/>
  <c r="L135" i="1"/>
  <c r="AS154" i="1"/>
  <c r="W154" i="1"/>
  <c r="X154" i="1" s="1"/>
  <c r="Z154" i="1" s="1"/>
  <c r="AX154" i="1" s="1"/>
  <c r="AY154" i="1" s="1"/>
  <c r="AS133" i="1"/>
  <c r="W133" i="1"/>
  <c r="H102" i="1"/>
  <c r="BE93" i="1" s="1"/>
  <c r="K102" i="1"/>
  <c r="AS151" i="1"/>
  <c r="W151" i="1"/>
  <c r="L152" i="1"/>
  <c r="BD147" i="1"/>
  <c r="AN96" i="1"/>
  <c r="AO96" i="1" s="1"/>
  <c r="AI98" i="1"/>
  <c r="AJ98" i="1" s="1"/>
  <c r="AI95" i="1"/>
  <c r="AJ95" i="1" s="1"/>
  <c r="BD131" i="1"/>
  <c r="L131" i="1"/>
  <c r="BD136" i="1"/>
  <c r="L136" i="1"/>
  <c r="BD146" i="1"/>
  <c r="L153" i="1"/>
  <c r="AI101" i="1"/>
  <c r="AJ101" i="1" s="1"/>
  <c r="AS148" i="1"/>
  <c r="W148" i="1"/>
  <c r="BD153" i="1"/>
  <c r="L146" i="1"/>
  <c r="AS150" i="1"/>
  <c r="W150" i="1"/>
  <c r="AI100" i="1"/>
  <c r="AJ100" i="1" s="1"/>
  <c r="AN97" i="1"/>
  <c r="AO97" i="1" s="1"/>
  <c r="W139" i="1"/>
  <c r="X139" i="1" s="1"/>
  <c r="Z139" i="1" s="1"/>
  <c r="AX139" i="1" s="1"/>
  <c r="AY139" i="1" s="1"/>
  <c r="AS139" i="1"/>
  <c r="BD152" i="1"/>
  <c r="L147" i="1"/>
  <c r="BD148" i="1"/>
  <c r="L151" i="1"/>
  <c r="AS152" i="1"/>
  <c r="W152" i="1"/>
  <c r="H99" i="1"/>
  <c r="BE96" i="1" s="1"/>
  <c r="AS138" i="1"/>
  <c r="W138" i="1"/>
  <c r="AS130" i="1"/>
  <c r="W130" i="1"/>
  <c r="AN102" i="1"/>
  <c r="AO102" i="1" s="1"/>
  <c r="AN95" i="1"/>
  <c r="AO95" i="1" s="1"/>
  <c r="BD151" i="1"/>
  <c r="L148" i="1"/>
  <c r="AS146" i="1"/>
  <c r="W146" i="1"/>
  <c r="L150" i="1"/>
  <c r="BD149" i="1"/>
  <c r="AI97" i="1"/>
  <c r="AJ97" i="1" s="1"/>
  <c r="H98" i="1"/>
  <c r="BE97" i="1" s="1"/>
  <c r="AR154" i="1"/>
  <c r="L139" i="1"/>
  <c r="BD139" i="1"/>
  <c r="AS147" i="1"/>
  <c r="W147" i="1"/>
  <c r="H100" i="1"/>
  <c r="BE95" i="1" s="1"/>
  <c r="AS132" i="1"/>
  <c r="W132" i="1"/>
  <c r="AS145" i="1"/>
  <c r="W145" i="1"/>
  <c r="K96" i="1"/>
  <c r="H96" i="1"/>
  <c r="BE99" i="1" s="1"/>
  <c r="K98" i="1"/>
  <c r="BD138" i="1"/>
  <c r="L138" i="1"/>
  <c r="BD130" i="1"/>
  <c r="L130" i="1"/>
  <c r="K101" i="1"/>
  <c r="H101" i="1"/>
  <c r="BE94" i="1" s="1"/>
  <c r="AS134" i="1"/>
  <c r="W134" i="1"/>
  <c r="BD150" i="1"/>
  <c r="L149" i="1"/>
  <c r="W137" i="1"/>
  <c r="AS137" i="1"/>
  <c r="K100" i="1"/>
  <c r="K97" i="1"/>
  <c r="H97" i="1"/>
  <c r="BE98" i="1" s="1"/>
  <c r="AI94" i="1"/>
  <c r="AJ94" i="1" s="1"/>
  <c r="K99" i="1"/>
  <c r="X150" i="1" l="1"/>
  <c r="Z150" i="1" s="1"/>
  <c r="X148" i="1"/>
  <c r="Z148" i="1" s="1"/>
  <c r="X135" i="1"/>
  <c r="Z135" i="1" s="1"/>
  <c r="X153" i="1"/>
  <c r="Z153" i="1" s="1"/>
  <c r="X131" i="1"/>
  <c r="Z131" i="1" s="1"/>
  <c r="X145" i="1"/>
  <c r="Z145" i="1" s="1"/>
  <c r="X130" i="1"/>
  <c r="Z130" i="1" s="1"/>
  <c r="X134" i="1"/>
  <c r="Z134" i="1" s="1"/>
  <c r="X147" i="1"/>
  <c r="Z147" i="1" s="1"/>
  <c r="X152" i="1"/>
  <c r="Z152" i="1" s="1"/>
  <c r="X151" i="1"/>
  <c r="Z151" i="1" s="1"/>
  <c r="X133" i="1"/>
  <c r="Z133" i="1" s="1"/>
  <c r="X137" i="1"/>
  <c r="Z137" i="1" s="1"/>
  <c r="X132" i="1"/>
  <c r="Z132" i="1" s="1"/>
  <c r="X146" i="1"/>
  <c r="Z146" i="1" s="1"/>
  <c r="X138" i="1"/>
  <c r="Z138" i="1" s="1"/>
  <c r="X149" i="1"/>
  <c r="Z149" i="1" s="1"/>
  <c r="X136" i="1"/>
  <c r="Z136" i="1" s="1"/>
  <c r="BA139" i="1"/>
  <c r="AZ139" i="1"/>
  <c r="I66" i="1"/>
  <c r="I65" i="1"/>
  <c r="BA154" i="1"/>
  <c r="AZ154" i="1"/>
  <c r="O97" i="1"/>
  <c r="W97" i="1" s="1"/>
  <c r="X97" i="1" s="1"/>
  <c r="E97" i="1"/>
  <c r="O102" i="1"/>
  <c r="W102" i="1" s="1"/>
  <c r="X102" i="1" s="1"/>
  <c r="E102" i="1"/>
  <c r="O94" i="1"/>
  <c r="W94" i="1" s="1"/>
  <c r="X94" i="1" s="1"/>
  <c r="E94" i="1"/>
  <c r="O95" i="1"/>
  <c r="W95" i="1" s="1"/>
  <c r="X95" i="1" s="1"/>
  <c r="E95" i="1"/>
  <c r="O99" i="1"/>
  <c r="W99" i="1" s="1"/>
  <c r="X99" i="1" s="1"/>
  <c r="E99" i="1"/>
  <c r="O101" i="1"/>
  <c r="W101" i="1" s="1"/>
  <c r="X101" i="1" s="1"/>
  <c r="E101" i="1"/>
  <c r="O98" i="1"/>
  <c r="W98" i="1" s="1"/>
  <c r="X98" i="1" s="1"/>
  <c r="E98" i="1"/>
  <c r="O100" i="1"/>
  <c r="W100" i="1" s="1"/>
  <c r="X100" i="1" s="1"/>
  <c r="E100" i="1"/>
  <c r="O96" i="1"/>
  <c r="W96" i="1" s="1"/>
  <c r="X96" i="1" s="1"/>
  <c r="E96" i="1"/>
  <c r="O93" i="1"/>
  <c r="W93" i="1" s="1"/>
  <c r="X93" i="1" s="1"/>
  <c r="E93" i="1"/>
  <c r="AB77" i="1"/>
  <c r="AA77" i="1"/>
  <c r="O23" i="6"/>
  <c r="N23" i="6"/>
  <c r="K23" i="6"/>
  <c r="O22" i="6"/>
  <c r="N22" i="6"/>
  <c r="K22" i="6"/>
  <c r="O21" i="6"/>
  <c r="N21" i="6"/>
  <c r="K21" i="6"/>
  <c r="O20" i="6"/>
  <c r="N20" i="6"/>
  <c r="K20" i="6"/>
  <c r="O19" i="6"/>
  <c r="N19" i="6"/>
  <c r="K19" i="6"/>
  <c r="O18" i="6"/>
  <c r="N18" i="6"/>
  <c r="K18" i="6"/>
  <c r="O17" i="6"/>
  <c r="N17" i="6"/>
  <c r="K17" i="6"/>
  <c r="O16" i="6"/>
  <c r="N16" i="6"/>
  <c r="K16" i="6"/>
  <c r="O15" i="6"/>
  <c r="N15" i="6"/>
  <c r="K15" i="6"/>
  <c r="O14" i="6"/>
  <c r="N14" i="6"/>
  <c r="K14" i="6"/>
  <c r="O13" i="6"/>
  <c r="N13" i="6"/>
  <c r="K13" i="6"/>
  <c r="O127" i="1" l="1" a="1"/>
  <c r="O127" i="1" s="1"/>
  <c r="F66" i="1"/>
  <c r="L93" i="1"/>
  <c r="BD102" i="1"/>
  <c r="BD95" i="1"/>
  <c r="L100" i="1"/>
  <c r="BD94" i="1"/>
  <c r="L101" i="1"/>
  <c r="BD100" i="1"/>
  <c r="L95" i="1"/>
  <c r="BD93" i="1"/>
  <c r="L102" i="1"/>
  <c r="AS93" i="1"/>
  <c r="Z93" i="1"/>
  <c r="AR93" i="1"/>
  <c r="AS100" i="1"/>
  <c r="Z100" i="1"/>
  <c r="AR100" i="1"/>
  <c r="AS101" i="1"/>
  <c r="Z101" i="1"/>
  <c r="AR101" i="1"/>
  <c r="AS95" i="1"/>
  <c r="AR95" i="1"/>
  <c r="Z95" i="1"/>
  <c r="AS102" i="1"/>
  <c r="Z102" i="1"/>
  <c r="AX102" i="1" s="1"/>
  <c r="AY102" i="1" s="1"/>
  <c r="AR102" i="1"/>
  <c r="L96" i="1"/>
  <c r="BD99" i="1"/>
  <c r="BD97" i="1"/>
  <c r="L98" i="1"/>
  <c r="BD96" i="1"/>
  <c r="L99" i="1"/>
  <c r="BD101" i="1"/>
  <c r="L94" i="1"/>
  <c r="BD98" i="1"/>
  <c r="L97" i="1"/>
  <c r="AS96" i="1"/>
  <c r="Z96" i="1"/>
  <c r="AR96" i="1"/>
  <c r="AS98" i="1"/>
  <c r="AR98" i="1"/>
  <c r="Z98" i="1"/>
  <c r="Z99" i="1"/>
  <c r="AS99" i="1"/>
  <c r="AR99" i="1"/>
  <c r="AS94" i="1"/>
  <c r="Z94" i="1"/>
  <c r="AR94" i="1"/>
  <c r="AS97" i="1"/>
  <c r="AR97" i="1"/>
  <c r="Z97" i="1"/>
  <c r="AQ144" i="1"/>
  <c r="AQ129" i="1"/>
  <c r="AP144" i="1"/>
  <c r="AP129" i="1"/>
  <c r="AA152" i="1"/>
  <c r="AA134" i="1"/>
  <c r="AA133" i="1"/>
  <c r="AA136" i="1"/>
  <c r="AA132" i="1"/>
  <c r="AA146" i="1"/>
  <c r="AA137" i="1"/>
  <c r="AA148" i="1"/>
  <c r="AA149" i="1"/>
  <c r="AA138" i="1"/>
  <c r="AA145" i="1"/>
  <c r="AA150" i="1"/>
  <c r="AA131" i="1"/>
  <c r="AA135" i="1"/>
  <c r="AA147" i="1"/>
  <c r="AA130" i="1"/>
  <c r="AA139" i="1"/>
  <c r="AA151" i="1"/>
  <c r="AA153" i="1"/>
  <c r="AA154" i="1"/>
  <c r="AB136" i="1"/>
  <c r="AB139" i="1"/>
  <c r="AB132" i="1"/>
  <c r="AB134" i="1"/>
  <c r="AB133" i="1"/>
  <c r="AB147" i="1"/>
  <c r="AB137" i="1"/>
  <c r="AB150" i="1"/>
  <c r="AB148" i="1"/>
  <c r="AB149" i="1"/>
  <c r="AB130" i="1"/>
  <c r="AB145" i="1"/>
  <c r="AB131" i="1"/>
  <c r="AB154" i="1"/>
  <c r="AB146" i="1"/>
  <c r="AB151" i="1"/>
  <c r="AB153" i="1"/>
  <c r="AB152" i="1"/>
  <c r="AB138" i="1"/>
  <c r="AB135" i="1"/>
  <c r="AB93" i="1"/>
  <c r="AB98" i="1"/>
  <c r="AB99" i="1"/>
  <c r="AB100" i="1"/>
  <c r="AB101" i="1"/>
  <c r="AB102" i="1"/>
  <c r="AB94" i="1"/>
  <c r="AB97" i="1"/>
  <c r="AB96" i="1"/>
  <c r="AB95" i="1"/>
  <c r="K65" i="1"/>
  <c r="AP77" i="1"/>
  <c r="K66" i="1"/>
  <c r="AQ77" i="1"/>
  <c r="AA95" i="1"/>
  <c r="AA101" i="1"/>
  <c r="AA102" i="1"/>
  <c r="AA96" i="1"/>
  <c r="AA100" i="1"/>
  <c r="AA97" i="1"/>
  <c r="AA93" i="1"/>
  <c r="AA98" i="1"/>
  <c r="AA94" i="1"/>
  <c r="AA99" i="1"/>
  <c r="AP92" i="1"/>
  <c r="AQ92" i="1"/>
  <c r="J14" i="6"/>
  <c r="J18" i="6"/>
  <c r="J22" i="6"/>
  <c r="J23" i="6"/>
  <c r="J13" i="6"/>
  <c r="J17" i="6"/>
  <c r="J21" i="6"/>
  <c r="J16" i="6"/>
  <c r="J20" i="6"/>
  <c r="J15" i="6"/>
  <c r="J19" i="6"/>
  <c r="BA102" i="1" l="1"/>
  <c r="AZ102" i="1"/>
  <c r="G66" i="1"/>
  <c r="L66" i="1"/>
  <c r="P84" i="1"/>
  <c r="P85" i="1"/>
  <c r="P86" i="1"/>
  <c r="P87" i="1"/>
  <c r="AQ76" i="1"/>
  <c r="AQ102" i="1" s="1"/>
  <c r="AP76" i="1"/>
  <c r="AP99" i="1" s="1"/>
  <c r="AP150" i="1" l="1"/>
  <c r="AP137" i="1"/>
  <c r="AP130" i="1"/>
  <c r="AP147" i="1"/>
  <c r="AQ136" i="1"/>
  <c r="AQ139" i="1"/>
  <c r="AQ138" i="1"/>
  <c r="AQ153" i="1"/>
  <c r="AQ150" i="1"/>
  <c r="AQ134" i="1"/>
  <c r="AQ154" i="1"/>
  <c r="AQ151" i="1"/>
  <c r="AP139" i="1"/>
  <c r="AT139" i="1" s="1"/>
  <c r="AQ132" i="1"/>
  <c r="AQ135" i="1"/>
  <c r="AP151" i="1"/>
  <c r="AX151" i="1" s="1"/>
  <c r="AY151" i="1" s="1"/>
  <c r="AP145" i="1"/>
  <c r="AP131" i="1"/>
  <c r="AP146" i="1"/>
  <c r="AP152" i="1"/>
  <c r="AP138" i="1"/>
  <c r="AP132" i="1"/>
  <c r="AX132" i="1" s="1"/>
  <c r="AY132" i="1" s="1"/>
  <c r="AP153" i="1"/>
  <c r="AP133" i="1"/>
  <c r="AP148" i="1"/>
  <c r="AQ133" i="1"/>
  <c r="AQ147" i="1"/>
  <c r="AQ137" i="1"/>
  <c r="AQ130" i="1"/>
  <c r="AQ148" i="1"/>
  <c r="AP149" i="1"/>
  <c r="AP136" i="1"/>
  <c r="AP154" i="1"/>
  <c r="AT154" i="1" s="1"/>
  <c r="AU154" i="1" s="1"/>
  <c r="AW154" i="1" s="1"/>
  <c r="N154" i="1" s="1"/>
  <c r="AP135" i="1"/>
  <c r="AP134" i="1"/>
  <c r="AQ146" i="1"/>
  <c r="AQ152" i="1"/>
  <c r="AQ145" i="1"/>
  <c r="AQ131" i="1"/>
  <c r="AQ149" i="1"/>
  <c r="AQ78" i="1"/>
  <c r="AQ83" i="1"/>
  <c r="AQ85" i="1"/>
  <c r="AQ99" i="1"/>
  <c r="AX99" i="1" s="1"/>
  <c r="AY99" i="1" s="1"/>
  <c r="AQ94" i="1"/>
  <c r="AP86" i="1"/>
  <c r="AP78" i="1"/>
  <c r="AP83" i="1"/>
  <c r="AP93" i="1"/>
  <c r="AP102" i="1"/>
  <c r="AQ84" i="1"/>
  <c r="AQ79" i="1"/>
  <c r="AQ81" i="1"/>
  <c r="AQ96" i="1"/>
  <c r="AQ97" i="1"/>
  <c r="AP82" i="1"/>
  <c r="AP84" i="1"/>
  <c r="AP79" i="1"/>
  <c r="AP94" i="1"/>
  <c r="AP98" i="1"/>
  <c r="AQ80" i="1"/>
  <c r="AQ86" i="1"/>
  <c r="AQ93" i="1"/>
  <c r="AQ100" i="1"/>
  <c r="AQ98" i="1"/>
  <c r="AP85" i="1"/>
  <c r="AP80" i="1"/>
  <c r="AP96" i="1"/>
  <c r="AP97" i="1"/>
  <c r="AP95" i="1"/>
  <c r="AQ87" i="1"/>
  <c r="AQ82" i="1"/>
  <c r="AQ95" i="1"/>
  <c r="AQ101" i="1"/>
  <c r="AP81" i="1"/>
  <c r="AP87" i="1"/>
  <c r="AP100" i="1"/>
  <c r="AP101" i="1"/>
  <c r="AX101" i="1" s="1"/>
  <c r="AY101" i="1" s="1"/>
  <c r="L65" i="1"/>
  <c r="B87" i="1"/>
  <c r="B86" i="1"/>
  <c r="B85" i="1"/>
  <c r="B84" i="1"/>
  <c r="B83" i="1"/>
  <c r="B82" i="1"/>
  <c r="B81" i="1"/>
  <c r="B80" i="1"/>
  <c r="B79" i="1"/>
  <c r="B78" i="1"/>
  <c r="D59" i="4"/>
  <c r="C59" i="4"/>
  <c r="D58" i="4"/>
  <c r="C58" i="4"/>
  <c r="D57" i="4"/>
  <c r="C57" i="4"/>
  <c r="D54" i="4"/>
  <c r="D53" i="4"/>
  <c r="D52" i="4"/>
  <c r="D51" i="4"/>
  <c r="D50" i="4"/>
  <c r="D36" i="4"/>
  <c r="D35" i="4"/>
  <c r="D34" i="4"/>
  <c r="D33" i="4"/>
  <c r="D32" i="4"/>
  <c r="D31" i="4"/>
  <c r="D30" i="4"/>
  <c r="C30" i="4"/>
  <c r="D29" i="4"/>
  <c r="C29" i="4"/>
  <c r="D28" i="4"/>
  <c r="C28" i="4"/>
  <c r="AX97" i="1" l="1"/>
  <c r="AY97" i="1" s="1"/>
  <c r="AZ97" i="1" s="1"/>
  <c r="AX93" i="1"/>
  <c r="AY93" i="1" s="1"/>
  <c r="AZ93" i="1" s="1"/>
  <c r="AX138" i="1"/>
  <c r="AY138" i="1" s="1"/>
  <c r="AZ138" i="1" s="1"/>
  <c r="AX96" i="1"/>
  <c r="AY96" i="1" s="1"/>
  <c r="BA96" i="1" s="1"/>
  <c r="AX134" i="1"/>
  <c r="AY134" i="1" s="1"/>
  <c r="AZ134" i="1" s="1"/>
  <c r="AX153" i="1"/>
  <c r="AY153" i="1" s="1"/>
  <c r="AZ153" i="1" s="1"/>
  <c r="AX136" i="1"/>
  <c r="AY136" i="1" s="1"/>
  <c r="BA136" i="1" s="1"/>
  <c r="AX135" i="1"/>
  <c r="AY135" i="1" s="1"/>
  <c r="AZ135" i="1" s="1"/>
  <c r="AZ99" i="1"/>
  <c r="BA99" i="1"/>
  <c r="AT100" i="1"/>
  <c r="AU100" i="1" s="1"/>
  <c r="AW100" i="1" s="1"/>
  <c r="AX100" i="1"/>
  <c r="AY100" i="1" s="1"/>
  <c r="AT94" i="1"/>
  <c r="AU94" i="1" s="1"/>
  <c r="AW94" i="1" s="1"/>
  <c r="AX94" i="1"/>
  <c r="AY94" i="1" s="1"/>
  <c r="AX149" i="1"/>
  <c r="AY149" i="1" s="1"/>
  <c r="AX146" i="1"/>
  <c r="AY146" i="1" s="1"/>
  <c r="AX130" i="1"/>
  <c r="AY130" i="1" s="1"/>
  <c r="BA101" i="1"/>
  <c r="AZ101" i="1"/>
  <c r="AX95" i="1"/>
  <c r="AY95" i="1" s="1"/>
  <c r="BA132" i="1"/>
  <c r="AZ132" i="1"/>
  <c r="AX131" i="1"/>
  <c r="AY131" i="1" s="1"/>
  <c r="AX137" i="1"/>
  <c r="AY137" i="1" s="1"/>
  <c r="AT148" i="1"/>
  <c r="AU148" i="1" s="1"/>
  <c r="AW148" i="1" s="1"/>
  <c r="AV148" i="1" s="1"/>
  <c r="AX148" i="1"/>
  <c r="AY148" i="1" s="1"/>
  <c r="AX145" i="1"/>
  <c r="AY145" i="1" s="1"/>
  <c r="AX150" i="1"/>
  <c r="AY150" i="1" s="1"/>
  <c r="AX98" i="1"/>
  <c r="AY98" i="1" s="1"/>
  <c r="AT133" i="1"/>
  <c r="AU133" i="1" s="1"/>
  <c r="AW133" i="1" s="1"/>
  <c r="AX133" i="1"/>
  <c r="AY133" i="1" s="1"/>
  <c r="AX152" i="1"/>
  <c r="AY152" i="1" s="1"/>
  <c r="BA151" i="1"/>
  <c r="AZ151" i="1"/>
  <c r="AX147" i="1"/>
  <c r="AY147" i="1" s="1"/>
  <c r="AT95" i="1"/>
  <c r="AU95" i="1" s="1"/>
  <c r="AW95" i="1" s="1"/>
  <c r="AT102" i="1"/>
  <c r="AU102" i="1" s="1"/>
  <c r="AW102" i="1" s="1"/>
  <c r="N102" i="1" s="1"/>
  <c r="AT138" i="1"/>
  <c r="AU138" i="1" s="1"/>
  <c r="AW138" i="1" s="1"/>
  <c r="AV154" i="1"/>
  <c r="M154" i="1" s="1"/>
  <c r="AT136" i="1"/>
  <c r="AU136" i="1" s="1"/>
  <c r="AW136" i="1" s="1"/>
  <c r="AV136" i="1" s="1"/>
  <c r="AT97" i="1"/>
  <c r="AU97" i="1" s="1"/>
  <c r="AW97" i="1" s="1"/>
  <c r="AV97" i="1" s="1"/>
  <c r="AT96" i="1"/>
  <c r="AU96" i="1" s="1"/>
  <c r="AW96" i="1" s="1"/>
  <c r="AV96" i="1" s="1"/>
  <c r="AT93" i="1"/>
  <c r="AU93" i="1" s="1"/>
  <c r="AW93" i="1" s="1"/>
  <c r="AT134" i="1"/>
  <c r="AU134" i="1" s="1"/>
  <c r="AW134" i="1" s="1"/>
  <c r="AT149" i="1"/>
  <c r="AU149" i="1" s="1"/>
  <c r="AW149" i="1" s="1"/>
  <c r="AT153" i="1"/>
  <c r="AU153" i="1" s="1"/>
  <c r="AW153" i="1" s="1"/>
  <c r="AT146" i="1"/>
  <c r="AU146" i="1" s="1"/>
  <c r="AW146" i="1" s="1"/>
  <c r="AT130" i="1"/>
  <c r="AU130" i="1" s="1"/>
  <c r="AW130" i="1" s="1"/>
  <c r="AT98" i="1"/>
  <c r="AU98" i="1" s="1"/>
  <c r="AW98" i="1" s="1"/>
  <c r="AT135" i="1"/>
  <c r="AU135" i="1" s="1"/>
  <c r="AW135" i="1" s="1"/>
  <c r="AT132" i="1"/>
  <c r="AU132" i="1" s="1"/>
  <c r="AW132" i="1" s="1"/>
  <c r="AT131" i="1"/>
  <c r="AU131" i="1" s="1"/>
  <c r="AW131" i="1" s="1"/>
  <c r="AT137" i="1"/>
  <c r="AU137" i="1" s="1"/>
  <c r="AW137" i="1" s="1"/>
  <c r="AV137" i="1" s="1"/>
  <c r="AT145" i="1"/>
  <c r="AU145" i="1" s="1"/>
  <c r="AW145" i="1" s="1"/>
  <c r="AT150" i="1"/>
  <c r="AU150" i="1" s="1"/>
  <c r="AW150" i="1" s="1"/>
  <c r="AT101" i="1"/>
  <c r="AU101" i="1" s="1"/>
  <c r="AW101" i="1" s="1"/>
  <c r="AT152" i="1"/>
  <c r="AU152" i="1" s="1"/>
  <c r="AW152" i="1" s="1"/>
  <c r="AT151" i="1"/>
  <c r="AU151" i="1" s="1"/>
  <c r="AW151" i="1" s="1"/>
  <c r="AT147" i="1"/>
  <c r="AU147" i="1" s="1"/>
  <c r="AW147" i="1" s="1"/>
  <c r="AT99" i="1"/>
  <c r="AU99" i="1" s="1"/>
  <c r="AW99" i="1" s="1"/>
  <c r="S78" i="1"/>
  <c r="AC78" i="1" s="1"/>
  <c r="U78" i="1"/>
  <c r="AE78" i="1" s="1"/>
  <c r="T78" i="1"/>
  <c r="AD78" i="1" s="1"/>
  <c r="S82" i="1"/>
  <c r="AC82" i="1" s="1"/>
  <c r="T82" i="1"/>
  <c r="AD82" i="1" s="1"/>
  <c r="U82" i="1"/>
  <c r="AE82" i="1" s="1"/>
  <c r="S86" i="1"/>
  <c r="AC86" i="1" s="1"/>
  <c r="T86" i="1"/>
  <c r="AD86" i="1" s="1"/>
  <c r="U86" i="1"/>
  <c r="AE86" i="1" s="1"/>
  <c r="T83" i="1"/>
  <c r="AD83" i="1" s="1"/>
  <c r="U83" i="1"/>
  <c r="AE83" i="1" s="1"/>
  <c r="S83" i="1"/>
  <c r="AC83" i="1" s="1"/>
  <c r="T87" i="1"/>
  <c r="AD87" i="1" s="1"/>
  <c r="U87" i="1"/>
  <c r="AE87" i="1" s="1"/>
  <c r="S87" i="1"/>
  <c r="AC87" i="1" s="1"/>
  <c r="U80" i="1"/>
  <c r="AE80" i="1" s="1"/>
  <c r="S80" i="1"/>
  <c r="AC80" i="1" s="1"/>
  <c r="T80" i="1"/>
  <c r="AD80" i="1" s="1"/>
  <c r="U84" i="1"/>
  <c r="AE84" i="1" s="1"/>
  <c r="S84" i="1"/>
  <c r="AC84" i="1" s="1"/>
  <c r="T84" i="1"/>
  <c r="AD84" i="1" s="1"/>
  <c r="T79" i="1"/>
  <c r="AD79" i="1" s="1"/>
  <c r="U79" i="1"/>
  <c r="AE79" i="1" s="1"/>
  <c r="S79" i="1"/>
  <c r="AC79" i="1" s="1"/>
  <c r="S81" i="1"/>
  <c r="AC81" i="1" s="1"/>
  <c r="T81" i="1"/>
  <c r="AD81" i="1" s="1"/>
  <c r="U81" i="1"/>
  <c r="AE81" i="1" s="1"/>
  <c r="S85" i="1"/>
  <c r="AC85" i="1" s="1"/>
  <c r="T85" i="1"/>
  <c r="AD85" i="1" s="1"/>
  <c r="U85" i="1"/>
  <c r="AE85" i="1" s="1"/>
  <c r="BC82" i="1"/>
  <c r="BC86" i="1"/>
  <c r="BC83" i="1"/>
  <c r="BC87" i="1"/>
  <c r="BC79" i="1"/>
  <c r="BC80" i="1"/>
  <c r="BC84" i="1"/>
  <c r="BC78" i="1"/>
  <c r="BC81" i="1"/>
  <c r="BC85" i="1"/>
  <c r="AU139" i="1"/>
  <c r="AW139" i="1" s="1"/>
  <c r="P81" i="1"/>
  <c r="P79" i="1"/>
  <c r="P83" i="1"/>
  <c r="P80" i="1"/>
  <c r="P82" i="1"/>
  <c r="P78" i="1"/>
  <c r="C78" i="1" l="1"/>
  <c r="C87" i="1"/>
  <c r="C86" i="1"/>
  <c r="C80" i="1"/>
  <c r="C81" i="1"/>
  <c r="C85" i="1"/>
  <c r="C79" i="1"/>
  <c r="C84" i="1"/>
  <c r="C83" i="1"/>
  <c r="C82" i="1"/>
  <c r="BA97" i="1"/>
  <c r="AZ96" i="1"/>
  <c r="M96" i="1" s="1"/>
  <c r="BA138" i="1"/>
  <c r="N138" i="1" s="1"/>
  <c r="BA93" i="1"/>
  <c r="N93" i="1" s="1"/>
  <c r="BA153" i="1"/>
  <c r="N153" i="1" s="1"/>
  <c r="AZ136" i="1"/>
  <c r="M136" i="1" s="1"/>
  <c r="BA135" i="1"/>
  <c r="N135" i="1" s="1"/>
  <c r="BA134" i="1"/>
  <c r="F78" i="1"/>
  <c r="AV139" i="1"/>
  <c r="M139" i="1" s="1"/>
  <c r="N139" i="1"/>
  <c r="N136" i="1"/>
  <c r="M97" i="1"/>
  <c r="N97" i="1"/>
  <c r="N132" i="1"/>
  <c r="N134" i="1"/>
  <c r="N96" i="1"/>
  <c r="N101" i="1"/>
  <c r="N99" i="1"/>
  <c r="N151" i="1"/>
  <c r="BA152" i="1"/>
  <c r="N152" i="1" s="1"/>
  <c r="AZ152" i="1"/>
  <c r="BA150" i="1"/>
  <c r="N150" i="1" s="1"/>
  <c r="AZ150" i="1"/>
  <c r="BA148" i="1"/>
  <c r="N148" i="1" s="1"/>
  <c r="AZ148" i="1"/>
  <c r="M148" i="1" s="1"/>
  <c r="AZ95" i="1"/>
  <c r="BA95" i="1"/>
  <c r="N95" i="1" s="1"/>
  <c r="BA146" i="1"/>
  <c r="N146" i="1" s="1"/>
  <c r="AZ146" i="1"/>
  <c r="BA100" i="1"/>
  <c r="N100" i="1" s="1"/>
  <c r="AZ100" i="1"/>
  <c r="BA147" i="1"/>
  <c r="N147" i="1" s="1"/>
  <c r="AZ147" i="1"/>
  <c r="BA133" i="1"/>
  <c r="N133" i="1" s="1"/>
  <c r="AZ133" i="1"/>
  <c r="AZ98" i="1"/>
  <c r="BA98" i="1"/>
  <c r="N98" i="1" s="1"/>
  <c r="BA145" i="1"/>
  <c r="N145" i="1" s="1"/>
  <c r="AZ145" i="1"/>
  <c r="BA137" i="1"/>
  <c r="N137" i="1" s="1"/>
  <c r="AZ137" i="1"/>
  <c r="M137" i="1" s="1"/>
  <c r="AZ94" i="1"/>
  <c r="BA94" i="1"/>
  <c r="N94" i="1" s="1"/>
  <c r="BA131" i="1"/>
  <c r="N131" i="1" s="1"/>
  <c r="AZ131" i="1"/>
  <c r="BA130" i="1"/>
  <c r="N130" i="1" s="1"/>
  <c r="AZ130" i="1"/>
  <c r="BA149" i="1"/>
  <c r="N149" i="1" s="1"/>
  <c r="AZ149" i="1"/>
  <c r="I78" i="1"/>
  <c r="E87" i="1"/>
  <c r="F87" i="1"/>
  <c r="H87" i="1" s="1"/>
  <c r="I87" i="1"/>
  <c r="K87" i="1" s="1"/>
  <c r="F86" i="1"/>
  <c r="I86" i="1"/>
  <c r="F81" i="1"/>
  <c r="I81" i="1"/>
  <c r="F80" i="1"/>
  <c r="I80" i="1"/>
  <c r="F85" i="1"/>
  <c r="I85" i="1"/>
  <c r="F79" i="1"/>
  <c r="I79" i="1"/>
  <c r="F84" i="1"/>
  <c r="I84" i="1"/>
  <c r="F83" i="1"/>
  <c r="I83" i="1"/>
  <c r="I82" i="1"/>
  <c r="F82" i="1"/>
  <c r="AV102" i="1"/>
  <c r="M102" i="1" s="1"/>
  <c r="AK79" i="1"/>
  <c r="AF79" i="1"/>
  <c r="AK83" i="1"/>
  <c r="AF83" i="1"/>
  <c r="AM81" i="1"/>
  <c r="AH81" i="1"/>
  <c r="AM79" i="1"/>
  <c r="AH79" i="1"/>
  <c r="AM84" i="1"/>
  <c r="AH84" i="1"/>
  <c r="AK87" i="1"/>
  <c r="AF87" i="1"/>
  <c r="AM83" i="1"/>
  <c r="AH83" i="1"/>
  <c r="AK86" i="1"/>
  <c r="AF86" i="1"/>
  <c r="AL78" i="1"/>
  <c r="AG78" i="1"/>
  <c r="AK84" i="1"/>
  <c r="AF84" i="1"/>
  <c r="AL86" i="1"/>
  <c r="AG86" i="1"/>
  <c r="AM85" i="1"/>
  <c r="AH85" i="1"/>
  <c r="AL81" i="1"/>
  <c r="AG81" i="1"/>
  <c r="AL79" i="1"/>
  <c r="AG79" i="1"/>
  <c r="AL80" i="1"/>
  <c r="AG80" i="1"/>
  <c r="AM87" i="1"/>
  <c r="AH87" i="1"/>
  <c r="AL83" i="1"/>
  <c r="AG83" i="1"/>
  <c r="AM82" i="1"/>
  <c r="AH82" i="1"/>
  <c r="AM78" i="1"/>
  <c r="AH78" i="1"/>
  <c r="AK85" i="1"/>
  <c r="AF85" i="1"/>
  <c r="AM80" i="1"/>
  <c r="AH80" i="1"/>
  <c r="AK82" i="1"/>
  <c r="AF82" i="1"/>
  <c r="AL85" i="1"/>
  <c r="AG85" i="1"/>
  <c r="AK81" i="1"/>
  <c r="AF81" i="1"/>
  <c r="AL84" i="1"/>
  <c r="AG84" i="1"/>
  <c r="AK80" i="1"/>
  <c r="AF80" i="1"/>
  <c r="AL87" i="1"/>
  <c r="AG87" i="1"/>
  <c r="AM86" i="1"/>
  <c r="AH86" i="1"/>
  <c r="AL82" i="1"/>
  <c r="AG82" i="1"/>
  <c r="AK78" i="1"/>
  <c r="AF78" i="1"/>
  <c r="AV151" i="1"/>
  <c r="M151" i="1" s="1"/>
  <c r="AV135" i="1"/>
  <c r="M135" i="1" s="1"/>
  <c r="AV153" i="1"/>
  <c r="M153" i="1" s="1"/>
  <c r="AV99" i="1"/>
  <c r="M99" i="1" s="1"/>
  <c r="AV101" i="1"/>
  <c r="M101" i="1" s="1"/>
  <c r="AV134" i="1"/>
  <c r="M134" i="1" s="1"/>
  <c r="AV147" i="1"/>
  <c r="AV150" i="1"/>
  <c r="AV132" i="1"/>
  <c r="M132" i="1" s="1"/>
  <c r="AV130" i="1"/>
  <c r="AV138" i="1"/>
  <c r="M138" i="1" s="1"/>
  <c r="AV131" i="1"/>
  <c r="AV133" i="1"/>
  <c r="AV146" i="1"/>
  <c r="AV152" i="1"/>
  <c r="AV145" i="1"/>
  <c r="AV149" i="1"/>
  <c r="AV94" i="1"/>
  <c r="AV100" i="1"/>
  <c r="AV98" i="1"/>
  <c r="AV93" i="1"/>
  <c r="M93" i="1" s="1"/>
  <c r="AV95" i="1"/>
  <c r="AI80" i="1" l="1"/>
  <c r="AJ80" i="1" s="1"/>
  <c r="L87" i="1"/>
  <c r="AN80" i="1"/>
  <c r="AO80" i="1" s="1"/>
  <c r="M149" i="1"/>
  <c r="M131" i="1"/>
  <c r="M147" i="1"/>
  <c r="M146" i="1"/>
  <c r="M152" i="1"/>
  <c r="M98" i="1"/>
  <c r="M130" i="1"/>
  <c r="M145" i="1"/>
  <c r="M133" i="1"/>
  <c r="M100" i="1"/>
  <c r="M150" i="1"/>
  <c r="M94" i="1"/>
  <c r="M95" i="1"/>
  <c r="AN78" i="1"/>
  <c r="AO78" i="1" s="1"/>
  <c r="AI84" i="1"/>
  <c r="AJ84" i="1" s="1"/>
  <c r="K86" i="1"/>
  <c r="H86" i="1"/>
  <c r="BE86" i="1" s="1"/>
  <c r="AI87" i="1"/>
  <c r="AJ87" i="1" s="1"/>
  <c r="AI83" i="1"/>
  <c r="AJ83" i="1" s="1"/>
  <c r="K78" i="1"/>
  <c r="H78" i="1"/>
  <c r="K81" i="1"/>
  <c r="H81" i="1"/>
  <c r="BE81" i="1" s="1"/>
  <c r="K85" i="1"/>
  <c r="H85" i="1"/>
  <c r="BE85" i="1" s="1"/>
  <c r="AN84" i="1"/>
  <c r="AO84" i="1" s="1"/>
  <c r="AN87" i="1"/>
  <c r="AO87" i="1" s="1"/>
  <c r="AN83" i="1"/>
  <c r="AO83" i="1" s="1"/>
  <c r="K79" i="1"/>
  <c r="H79" i="1"/>
  <c r="BE79" i="1" s="1"/>
  <c r="BE87" i="1"/>
  <c r="H83" i="1"/>
  <c r="BE83" i="1" s="1"/>
  <c r="K83" i="1"/>
  <c r="H80" i="1"/>
  <c r="BE80" i="1" s="1"/>
  <c r="K80" i="1"/>
  <c r="K82" i="1"/>
  <c r="H82" i="1"/>
  <c r="BE82" i="1" s="1"/>
  <c r="H84" i="1"/>
  <c r="BE84" i="1" s="1"/>
  <c r="K84" i="1"/>
  <c r="AN79" i="1"/>
  <c r="AO79" i="1" s="1"/>
  <c r="AI82" i="1"/>
  <c r="AJ82" i="1" s="1"/>
  <c r="AI81" i="1"/>
  <c r="AJ81" i="1" s="1"/>
  <c r="AI85" i="1"/>
  <c r="AJ85" i="1" s="1"/>
  <c r="AI86" i="1"/>
  <c r="AJ86" i="1" s="1"/>
  <c r="AN82" i="1"/>
  <c r="AO82" i="1" s="1"/>
  <c r="AI78" i="1"/>
  <c r="AJ78" i="1" s="1"/>
  <c r="AN81" i="1"/>
  <c r="AO81" i="1" s="1"/>
  <c r="AN85" i="1"/>
  <c r="AO85" i="1" s="1"/>
  <c r="AN86" i="1"/>
  <c r="AO86" i="1" s="1"/>
  <c r="AI79" i="1"/>
  <c r="AJ79" i="1" s="1"/>
  <c r="O82" i="1" l="1"/>
  <c r="W82" i="1" s="1"/>
  <c r="X82" i="1" s="1"/>
  <c r="E82" i="1"/>
  <c r="O81" i="1"/>
  <c r="W81" i="1" s="1"/>
  <c r="X81" i="1" s="1"/>
  <c r="E81" i="1"/>
  <c r="O86" i="1"/>
  <c r="W86" i="1" s="1"/>
  <c r="X86" i="1" s="1"/>
  <c r="E86" i="1"/>
  <c r="O84" i="1"/>
  <c r="W84" i="1" s="1"/>
  <c r="X84" i="1" s="1"/>
  <c r="E84" i="1"/>
  <c r="O87" i="1"/>
  <c r="W87" i="1" s="1"/>
  <c r="X87" i="1" s="1"/>
  <c r="O85" i="1"/>
  <c r="W85" i="1" s="1"/>
  <c r="X85" i="1" s="1"/>
  <c r="E85" i="1"/>
  <c r="O78" i="1"/>
  <c r="W78" i="1" s="1"/>
  <c r="X78" i="1" s="1"/>
  <c r="E78" i="1"/>
  <c r="L78" i="1" s="1"/>
  <c r="O80" i="1"/>
  <c r="W80" i="1" s="1"/>
  <c r="X80" i="1" s="1"/>
  <c r="E80" i="1"/>
  <c r="O83" i="1"/>
  <c r="W83" i="1" s="1"/>
  <c r="X83" i="1" s="1"/>
  <c r="E83" i="1"/>
  <c r="O79" i="1"/>
  <c r="W79" i="1" s="1"/>
  <c r="X79" i="1" s="1"/>
  <c r="E79" i="1"/>
  <c r="BE78" i="1"/>
  <c r="F65" i="1" l="1"/>
  <c r="I21" i="1" s="1"/>
  <c r="BD79" i="1"/>
  <c r="L79" i="1"/>
  <c r="BD80" i="1"/>
  <c r="L80" i="1"/>
  <c r="BD85" i="1"/>
  <c r="L85" i="1"/>
  <c r="BD84" i="1"/>
  <c r="L84" i="1"/>
  <c r="BD81" i="1"/>
  <c r="L81" i="1"/>
  <c r="AA79" i="1"/>
  <c r="AB79" i="1"/>
  <c r="AS79" i="1"/>
  <c r="AR79" i="1"/>
  <c r="Z79" i="1"/>
  <c r="AS80" i="1"/>
  <c r="AR80" i="1"/>
  <c r="AA80" i="1"/>
  <c r="AB80" i="1"/>
  <c r="Z80" i="1"/>
  <c r="AA85" i="1"/>
  <c r="AB85" i="1"/>
  <c r="AS85" i="1"/>
  <c r="AR85" i="1"/>
  <c r="Z85" i="1"/>
  <c r="AS84" i="1"/>
  <c r="AR84" i="1"/>
  <c r="AA84" i="1"/>
  <c r="AB84" i="1"/>
  <c r="Z84" i="1"/>
  <c r="AA81" i="1"/>
  <c r="AB81" i="1"/>
  <c r="AS81" i="1"/>
  <c r="AR81" i="1"/>
  <c r="Z81" i="1"/>
  <c r="BD83" i="1"/>
  <c r="L83" i="1"/>
  <c r="BD78" i="1"/>
  <c r="BD87" i="1"/>
  <c r="L86" i="1"/>
  <c r="BD86" i="1"/>
  <c r="L82" i="1"/>
  <c r="BD82" i="1"/>
  <c r="AA83" i="1"/>
  <c r="AB83" i="1"/>
  <c r="AS83" i="1"/>
  <c r="AR83" i="1"/>
  <c r="Z83" i="1"/>
  <c r="AS78" i="1"/>
  <c r="AA78" i="1"/>
  <c r="AR78" i="1"/>
  <c r="AB78" i="1"/>
  <c r="Z78" i="1"/>
  <c r="AS87" i="1"/>
  <c r="AB87" i="1"/>
  <c r="AR87" i="1"/>
  <c r="AA87" i="1"/>
  <c r="Z87" i="1"/>
  <c r="AS86" i="1"/>
  <c r="AB86" i="1"/>
  <c r="AR86" i="1"/>
  <c r="AA86" i="1"/>
  <c r="Z86" i="1"/>
  <c r="AB82" i="1"/>
  <c r="AA82" i="1"/>
  <c r="AS82" i="1"/>
  <c r="AR82" i="1"/>
  <c r="Z82" i="1"/>
  <c r="AX80" i="1" l="1"/>
  <c r="AY80" i="1" s="1"/>
  <c r="AZ80" i="1" s="1"/>
  <c r="G65" i="1"/>
  <c r="O75" i="1" s="1"/>
  <c r="AX82" i="1"/>
  <c r="AY82" i="1" s="1"/>
  <c r="AZ82" i="1" s="1"/>
  <c r="AX83" i="1"/>
  <c r="AY83" i="1" s="1"/>
  <c r="AZ83" i="1" s="1"/>
  <c r="AX86" i="1"/>
  <c r="AY86" i="1" s="1"/>
  <c r="AZ86" i="1" s="1"/>
  <c r="AX81" i="1"/>
  <c r="AY81" i="1" s="1"/>
  <c r="AZ81" i="1" s="1"/>
  <c r="AX79" i="1"/>
  <c r="AY79" i="1" s="1"/>
  <c r="AZ79" i="1" s="1"/>
  <c r="AX84" i="1"/>
  <c r="AY84" i="1" s="1"/>
  <c r="AX78" i="1"/>
  <c r="AY78" i="1" s="1"/>
  <c r="AX85" i="1"/>
  <c r="AY85" i="1" s="1"/>
  <c r="AX87" i="1"/>
  <c r="AY87" i="1" s="1"/>
  <c r="BA87" i="1" s="1"/>
  <c r="AT82" i="1"/>
  <c r="AU82" i="1" s="1"/>
  <c r="AW82" i="1" s="1"/>
  <c r="AT83" i="1"/>
  <c r="AU83" i="1" s="1"/>
  <c r="AW83" i="1" s="1"/>
  <c r="AV83" i="1" s="1"/>
  <c r="AT84" i="1"/>
  <c r="AU84" i="1" s="1"/>
  <c r="AW84" i="1" s="1"/>
  <c r="AT80" i="1"/>
  <c r="AU80" i="1" s="1"/>
  <c r="AW80" i="1" s="1"/>
  <c r="AT81" i="1"/>
  <c r="AU81" i="1" s="1"/>
  <c r="AW81" i="1" s="1"/>
  <c r="AT79" i="1"/>
  <c r="AU79" i="1" s="1"/>
  <c r="AW79" i="1" s="1"/>
  <c r="AT87" i="1"/>
  <c r="AU87" i="1" s="1"/>
  <c r="AW87" i="1" s="1"/>
  <c r="AR144" i="1"/>
  <c r="AT86" i="1"/>
  <c r="AU86" i="1" s="1"/>
  <c r="AW86" i="1" s="1"/>
  <c r="AT78" i="1"/>
  <c r="AU78" i="1" s="1"/>
  <c r="AW78" i="1" s="1"/>
  <c r="AT85" i="1"/>
  <c r="AU85" i="1" s="1"/>
  <c r="AW85" i="1" s="1"/>
  <c r="BA80" i="1" l="1"/>
  <c r="N80" i="1" s="1"/>
  <c r="N87" i="1"/>
  <c r="M83" i="1"/>
  <c r="BA81" i="1"/>
  <c r="N81" i="1" s="1"/>
  <c r="BA86" i="1"/>
  <c r="N86" i="1" s="1"/>
  <c r="BA82" i="1"/>
  <c r="N82" i="1" s="1"/>
  <c r="BA83" i="1"/>
  <c r="N83" i="1" s="1"/>
  <c r="BA79" i="1"/>
  <c r="N79" i="1" s="1"/>
  <c r="AV84" i="1"/>
  <c r="BA85" i="1"/>
  <c r="N85" i="1" s="1"/>
  <c r="AZ85" i="1"/>
  <c r="AZ84" i="1"/>
  <c r="BA84" i="1"/>
  <c r="N84" i="1" s="1"/>
  <c r="BA78" i="1"/>
  <c r="N78" i="1" s="1"/>
  <c r="AZ78" i="1"/>
  <c r="AZ87" i="1"/>
  <c r="AV82" i="1"/>
  <c r="M82" i="1" s="1"/>
  <c r="AV81" i="1"/>
  <c r="M81" i="1" s="1"/>
  <c r="AV86" i="1"/>
  <c r="M86" i="1" s="1"/>
  <c r="AV85" i="1"/>
  <c r="AV87" i="1"/>
  <c r="AV78" i="1"/>
  <c r="AV79" i="1"/>
  <c r="M79" i="1" s="1"/>
  <c r="AV80" i="1"/>
  <c r="M80" i="1" s="1"/>
  <c r="M84" i="1" l="1"/>
  <c r="M78" i="1"/>
  <c r="M85" i="1"/>
  <c r="M87" i="1"/>
</calcChain>
</file>

<file path=xl/comments1.xml><?xml version="1.0" encoding="utf-8"?>
<comments xmlns="http://schemas.openxmlformats.org/spreadsheetml/2006/main">
  <authors>
    <author>James M. Clinton</author>
  </authors>
  <commentList>
    <comment ref="C76" authorId="0">
      <text>
        <r>
          <rPr>
            <b/>
            <sz val="9"/>
            <color indexed="81"/>
            <rFont val="Tahoma"/>
            <family val="2"/>
          </rPr>
          <t>The Nominal values are the values recorded and taken from the 9840 Digital Indicator or dead weights.</t>
        </r>
      </text>
    </comment>
    <comment ref="D76" authorId="0">
      <text>
        <r>
          <rPr>
            <b/>
            <sz val="9"/>
            <color indexed="81"/>
            <rFont val="Tahoma"/>
            <family val="2"/>
          </rPr>
          <t>The Observed values are the values recorded and taken from the Lx Software</t>
        </r>
      </text>
    </comment>
    <comment ref="Y77" authorId="0">
      <text>
        <r>
          <rPr>
            <b/>
            <sz val="9"/>
            <color indexed="81"/>
            <rFont val="Tahoma"/>
            <family val="2"/>
          </rPr>
          <t>James M. Clinton:
Cell - from calibration reports, resolution &amp; temp from cover page</t>
        </r>
      </text>
    </comment>
    <comment ref="AR77" authorId="0">
      <text>
        <r>
          <rPr>
            <b/>
            <sz val="9"/>
            <color indexed="81"/>
            <rFont val="Tahoma"/>
            <family val="2"/>
          </rPr>
          <t>James M. Clinton:</t>
        </r>
        <r>
          <rPr>
            <sz val="9"/>
            <color indexed="81"/>
            <rFont val="Tahoma"/>
            <family val="2"/>
          </rPr>
          <t xml:space="preserve">
Dift of master loast cell (+/-0.008% of RO per degree F) times temp change over cal</t>
        </r>
      </text>
    </comment>
    <comment ref="AS77" authorId="0">
      <text>
        <r>
          <rPr>
            <b/>
            <sz val="9"/>
            <color indexed="81"/>
            <rFont val="Tahoma"/>
            <family val="2"/>
          </rPr>
          <t>James M. Clinton:</t>
        </r>
        <r>
          <rPr>
            <sz val="9"/>
            <color indexed="81"/>
            <rFont val="Tahoma"/>
            <family val="2"/>
          </rPr>
          <t xml:space="preserve">
+/0.01% creep in 20minutes</t>
        </r>
      </text>
    </comment>
    <comment ref="C91" authorId="0">
      <text>
        <r>
          <rPr>
            <b/>
            <sz val="9"/>
            <color indexed="81"/>
            <rFont val="Tahoma"/>
            <family val="2"/>
          </rPr>
          <t>The Nominal values are the values recorded and taken from the 9840 Digital Indicator or dead weights.</t>
        </r>
      </text>
    </comment>
    <comment ref="D91" authorId="0">
      <text>
        <r>
          <rPr>
            <b/>
            <sz val="9"/>
            <color indexed="81"/>
            <rFont val="Tahoma"/>
            <family val="2"/>
          </rPr>
          <t>The Observed values are the values recorded and taken from the Lx Software</t>
        </r>
      </text>
    </comment>
    <comment ref="Y92" authorId="0">
      <text>
        <r>
          <rPr>
            <b/>
            <sz val="9"/>
            <color indexed="81"/>
            <rFont val="Tahoma"/>
            <family val="2"/>
          </rPr>
          <t>James M. Clinton:
Cell - from calibration reports, resolution &amp; temp from cover page</t>
        </r>
      </text>
    </comment>
    <comment ref="AR92" authorId="0">
      <text>
        <r>
          <rPr>
            <b/>
            <sz val="9"/>
            <color indexed="81"/>
            <rFont val="Tahoma"/>
            <family val="2"/>
          </rPr>
          <t>James M. Clinton:</t>
        </r>
        <r>
          <rPr>
            <sz val="9"/>
            <color indexed="81"/>
            <rFont val="Tahoma"/>
            <family val="2"/>
          </rPr>
          <t xml:space="preserve">
Dift of master loast cell (+/-0.008% of RO per degree F) times temp change over cal</t>
        </r>
      </text>
    </comment>
    <comment ref="AS92" authorId="0">
      <text>
        <r>
          <rPr>
            <b/>
            <sz val="9"/>
            <color indexed="81"/>
            <rFont val="Tahoma"/>
            <family val="2"/>
          </rPr>
          <t>James M. Clinton:</t>
        </r>
        <r>
          <rPr>
            <sz val="9"/>
            <color indexed="81"/>
            <rFont val="Tahoma"/>
            <family val="2"/>
          </rPr>
          <t xml:space="preserve">
+/0.01% creep in 20minutes</t>
        </r>
      </text>
    </comment>
    <comment ref="C128" authorId="0">
      <text>
        <r>
          <rPr>
            <b/>
            <sz val="9"/>
            <color indexed="81"/>
            <rFont val="Tahoma"/>
            <family val="2"/>
          </rPr>
          <t>The Nominal values are the values recorded and taken from the 9840 Digital Indicator or dead weights.</t>
        </r>
      </text>
    </comment>
    <comment ref="D128" authorId="0">
      <text>
        <r>
          <rPr>
            <b/>
            <sz val="9"/>
            <color indexed="81"/>
            <rFont val="Tahoma"/>
            <family val="2"/>
          </rPr>
          <t>The Observed values are the values recorded and taken from the Lx Software</t>
        </r>
      </text>
    </comment>
    <comment ref="Y129" authorId="0">
      <text>
        <r>
          <rPr>
            <b/>
            <sz val="9"/>
            <color indexed="81"/>
            <rFont val="Tahoma"/>
            <family val="2"/>
          </rPr>
          <t>James M. Clinton:
Cell - from calibration reports, resolution &amp; temp from cover page</t>
        </r>
      </text>
    </comment>
    <comment ref="AR129" authorId="0">
      <text>
        <r>
          <rPr>
            <b/>
            <sz val="9"/>
            <color indexed="81"/>
            <rFont val="Tahoma"/>
            <family val="2"/>
          </rPr>
          <t>James M. Clinton:</t>
        </r>
        <r>
          <rPr>
            <sz val="9"/>
            <color indexed="81"/>
            <rFont val="Tahoma"/>
            <family val="2"/>
          </rPr>
          <t xml:space="preserve">
Dift of master loast cell (+/-0.008% of RO per degree F) times temp change over cal</t>
        </r>
      </text>
    </comment>
    <comment ref="AS129" authorId="0">
      <text>
        <r>
          <rPr>
            <b/>
            <sz val="9"/>
            <color indexed="81"/>
            <rFont val="Tahoma"/>
            <family val="2"/>
          </rPr>
          <t>James M. Clinton:</t>
        </r>
        <r>
          <rPr>
            <sz val="9"/>
            <color indexed="81"/>
            <rFont val="Tahoma"/>
            <family val="2"/>
          </rPr>
          <t xml:space="preserve">
+/0.01% creep in 20minutes</t>
        </r>
      </text>
    </comment>
    <comment ref="C143" authorId="0">
      <text>
        <r>
          <rPr>
            <b/>
            <sz val="9"/>
            <color indexed="81"/>
            <rFont val="Tahoma"/>
            <family val="2"/>
          </rPr>
          <t>The Nominal values are the values recorded and taken from the 9840 Digital Indicator or dead weights.</t>
        </r>
      </text>
    </comment>
    <comment ref="D143" authorId="0">
      <text>
        <r>
          <rPr>
            <b/>
            <sz val="9"/>
            <color indexed="81"/>
            <rFont val="Tahoma"/>
            <family val="2"/>
          </rPr>
          <t>The Observed values are the values recorded and taken from the Lx Software</t>
        </r>
      </text>
    </comment>
    <comment ref="Y144" authorId="0">
      <text>
        <r>
          <rPr>
            <b/>
            <sz val="9"/>
            <color indexed="81"/>
            <rFont val="Tahoma"/>
            <family val="2"/>
          </rPr>
          <t>James M. Clinton:
Cell - from calibration reports, resolution &amp; temp from cover page</t>
        </r>
      </text>
    </comment>
    <comment ref="AR144" authorId="0">
      <text>
        <r>
          <rPr>
            <b/>
            <sz val="9"/>
            <color indexed="81"/>
            <rFont val="Tahoma"/>
            <family val="2"/>
          </rPr>
          <t>James M. Clinton:</t>
        </r>
        <r>
          <rPr>
            <sz val="9"/>
            <color indexed="81"/>
            <rFont val="Tahoma"/>
            <family val="2"/>
          </rPr>
          <t xml:space="preserve">
Dift of master loast cell (+/-0.008% of RO per degree F) times temp change over cal</t>
        </r>
      </text>
    </comment>
    <comment ref="AS144" authorId="0">
      <text>
        <r>
          <rPr>
            <b/>
            <sz val="9"/>
            <color indexed="81"/>
            <rFont val="Tahoma"/>
            <family val="2"/>
          </rPr>
          <t>James M. Clinton:</t>
        </r>
        <r>
          <rPr>
            <sz val="9"/>
            <color indexed="81"/>
            <rFont val="Tahoma"/>
            <family val="2"/>
          </rPr>
          <t xml:space="preserve">
+/0.01% creep in 20minutes</t>
        </r>
      </text>
    </comment>
    <comment ref="C193" authorId="0">
      <text>
        <r>
          <rPr>
            <b/>
            <sz val="9"/>
            <color indexed="81"/>
            <rFont val="Tahoma"/>
            <family val="2"/>
          </rPr>
          <t>Nominal Values are taken from the digital indicator (or other calibration standard)</t>
        </r>
      </text>
    </comment>
    <comment ref="D193" authorId="0">
      <text>
        <r>
          <rPr>
            <b/>
            <sz val="9"/>
            <color indexed="81"/>
            <rFont val="Tahoma"/>
            <family val="2"/>
          </rPr>
          <t>Observed values are read from the Lx software</t>
        </r>
      </text>
    </comment>
    <comment ref="Y194" authorId="0">
      <text>
        <r>
          <rPr>
            <b/>
            <sz val="9"/>
            <color indexed="81"/>
            <rFont val="Tahoma"/>
            <family val="2"/>
          </rPr>
          <t>James M. Clinton:
Cell - from calibration reports, resolution &amp; temp from cover page</t>
        </r>
      </text>
    </comment>
    <comment ref="C205" authorId="0">
      <text>
        <r>
          <rPr>
            <b/>
            <sz val="9"/>
            <color indexed="81"/>
            <rFont val="Tahoma"/>
            <family val="2"/>
          </rPr>
          <t>Nominal Values are taken from the digital indicator (or other calibration standard)</t>
        </r>
      </text>
    </comment>
    <comment ref="D205" authorId="0">
      <text>
        <r>
          <rPr>
            <b/>
            <sz val="9"/>
            <color indexed="81"/>
            <rFont val="Tahoma"/>
            <family val="2"/>
          </rPr>
          <t>Observed values are read from the Lx software</t>
        </r>
      </text>
    </comment>
    <comment ref="Y206" authorId="0">
      <text>
        <r>
          <rPr>
            <b/>
            <sz val="9"/>
            <color indexed="81"/>
            <rFont val="Tahoma"/>
            <family val="2"/>
          </rPr>
          <t>James M. Clinton:
Cell - from calibration reports, resolution &amp; temp from cover page</t>
        </r>
      </text>
    </comment>
  </commentList>
</comments>
</file>

<file path=xl/sharedStrings.xml><?xml version="1.0" encoding="utf-8"?>
<sst xmlns="http://schemas.openxmlformats.org/spreadsheetml/2006/main" count="1240" uniqueCount="430">
  <si>
    <t>CAL DATE:</t>
  </si>
  <si>
    <t>TEMP IN F (Start):</t>
  </si>
  <si>
    <t>TEMP IN F (End):</t>
  </si>
  <si>
    <t>r HUMIDITY:</t>
  </si>
  <si>
    <t>CUSTOMER REQUESTED DUE DATE:</t>
  </si>
  <si>
    <t>CALIBRATION CERTIFICATE - FORCE</t>
  </si>
  <si>
    <t>THIS IS TO CERTIFY THAT THE ITEMS LISTED BELOW MEET THE REQUIREMENTS FOR ACCURACY AND REPEATABILITY FOR THE APPLICABLE SPECIFICATION AND COMPLIES WITH THE TECHNOLOGICAL REQUIREMENTS OF THE CUSTOMER'S REFERENCED PURCHASE ORDER. STANDARDS AND EQUIPMENT USED FOR INSPECTION ARE CERTIFIED ACCURATE WITH REFERENCE TO 68 DEGREES F, TRACEABLE TO MASTER STANDARDS AT THE NATIONAL INSTITUTE OF STANDARDS AND TECHNOLOGY, GAITHERSBURG, MD. 
WE ATTEST THAT OUR MEASURING AND TEST EQUIPMENT AND CALIBRATIONS PERFORMED ON THE ITEM (S) LISTED BELOW, MEET THE REQUIREMENTS OF ISO 17025, AND ANSI/NCSL Z540-1.
ANY NUMBER OF FACTORS MAY CAUSE THE CALIBRATED ITEM TO DRIFT OUT OF CALIBRATION BEFORE THE SPECIFIED NEXT CAL DATE.  IT SHALL BE THE RESPONSIBILITY OF THE END USER TO ENSURE THAT THE CALIBRATED ITEM REMAINS WITHIN CALIBRATION FOR THE DURATION OF THE END USER’S ASSIGNED CALIBRATION INTERVAL.  
THE REPORTED UNCERTAINTY IS BASED ON SIMPLE ACCEPTANCE, WHICH IS DOCUMENTED IN THE ASME B89.7.3.1-2001, AND HAS NOT BEEN USED TO ADJUST THE TOLERANCE OF THE CALIBRATED ITEM.</t>
  </si>
  <si>
    <t>ITEMS VERIFIED</t>
  </si>
  <si>
    <t>MFG:</t>
  </si>
  <si>
    <t>Starrett</t>
  </si>
  <si>
    <t>Test Frame Model:</t>
  </si>
  <si>
    <t>Select One</t>
  </si>
  <si>
    <t>Serial #:</t>
  </si>
  <si>
    <t>Load Cell Model:</t>
  </si>
  <si>
    <t>Lx Software Version:</t>
  </si>
  <si>
    <t>WAS INSTRUMENT OPERABLE AND WITHIN CALIBRATION "AS FOUND"</t>
  </si>
  <si>
    <t xml:space="preserve">IMPACT OF REJECT: </t>
  </si>
  <si>
    <t>WAS INSTRUMENT OPERABLE AND WITHIN CALIBRATION "AS LEFT"?</t>
  </si>
  <si>
    <t>WAS THE FORCE MEASURING DEVICES INTERCHANBEABILITY ESTABLISHED?</t>
  </si>
  <si>
    <t>YES</t>
  </si>
  <si>
    <t>CAL. PROCEDURE:</t>
  </si>
  <si>
    <t>REQUIRED ACCUARCY (+/-):</t>
  </si>
  <si>
    <t xml:space="preserve">REQUIRED REPEATABLITIY (+/-): </t>
  </si>
  <si>
    <t>SPECIFICATIONS: ASTM E4-10</t>
  </si>
  <si>
    <t xml:space="preserve">CALIBRATED BY: </t>
  </si>
  <si>
    <t>STANDARDS USED</t>
  </si>
  <si>
    <t>Interface</t>
  </si>
  <si>
    <t>N</t>
  </si>
  <si>
    <t>9840-200-1</t>
  </si>
  <si>
    <t>-</t>
  </si>
  <si>
    <t>F27401Q</t>
  </si>
  <si>
    <t xml:space="preserve"> </t>
  </si>
  <si>
    <t>mm</t>
  </si>
  <si>
    <t>Extech</t>
  </si>
  <si>
    <t>Z233336</t>
  </si>
  <si>
    <t>F</t>
  </si>
  <si>
    <t>.1⁰</t>
  </si>
  <si>
    <t>%</t>
  </si>
  <si>
    <t>Range % Full Scale</t>
  </si>
  <si>
    <t>T/C Test</t>
  </si>
  <si>
    <t>Max % Error</t>
  </si>
  <si>
    <t>Repeat % Error</t>
  </si>
  <si>
    <t>Zero Return</t>
  </si>
  <si>
    <t>T</t>
  </si>
  <si>
    <t>Pass</t>
  </si>
  <si>
    <t>C</t>
  </si>
  <si>
    <t>Test Range</t>
  </si>
  <si>
    <t>System Class</t>
  </si>
  <si>
    <t>Resolution (mm)</t>
  </si>
  <si>
    <t>Target</t>
  </si>
  <si>
    <t>RUN 1 % ERROR</t>
  </si>
  <si>
    <t>RUN 2 % ERROR</t>
  </si>
  <si>
    <t>RUN 3 % ERROR</t>
  </si>
  <si>
    <t>REPEAT ERROR %</t>
  </si>
  <si>
    <t>UNCERTAINTY (%)</t>
  </si>
  <si>
    <t>UNCERTAINTY U (+/-N)</t>
  </si>
  <si>
    <t>TEST POINTS (N)</t>
  </si>
  <si>
    <t>Load Cell Sizes (N)</t>
  </si>
  <si>
    <t>2 (N)</t>
  </si>
  <si>
    <t>4 (N)</t>
  </si>
  <si>
    <t>8 (N)</t>
  </si>
  <si>
    <t>14 (N)</t>
  </si>
  <si>
    <t>20 (N)</t>
  </si>
  <si>
    <t>40 (N)</t>
  </si>
  <si>
    <t>80 (N)</t>
  </si>
  <si>
    <t>120 (N)</t>
  </si>
  <si>
    <t>160 (N)</t>
  </si>
  <si>
    <t>200 (N)</t>
  </si>
  <si>
    <t>2.5 (N)</t>
  </si>
  <si>
    <t>5 (N)</t>
  </si>
  <si>
    <t>10 (N)</t>
  </si>
  <si>
    <t>17.5 (N)</t>
  </si>
  <si>
    <t>25 (N)</t>
  </si>
  <si>
    <t>50 (N)</t>
  </si>
  <si>
    <t>100 (N)</t>
  </si>
  <si>
    <t>150 (N)</t>
  </si>
  <si>
    <t>250 (N)</t>
  </si>
  <si>
    <t>35 (N)</t>
  </si>
  <si>
    <t>300 (N)</t>
  </si>
  <si>
    <t>400 (N)</t>
  </si>
  <si>
    <t>500 (N)</t>
  </si>
  <si>
    <t>70 (N)</t>
  </si>
  <si>
    <t>600 (N)</t>
  </si>
  <si>
    <t>800 (N)</t>
  </si>
  <si>
    <t>1000 (N)</t>
  </si>
  <si>
    <t>15 (N)</t>
  </si>
  <si>
    <t>30 (N)</t>
  </si>
  <si>
    <t>60 (N)</t>
  </si>
  <si>
    <t>95 (N)</t>
  </si>
  <si>
    <t>900 (N)</t>
  </si>
  <si>
    <t>1200 (N)</t>
  </si>
  <si>
    <t>1500 (N)</t>
  </si>
  <si>
    <t>140 (N)</t>
  </si>
  <si>
    <t>1600 (N)</t>
  </si>
  <si>
    <t>2000 (N)</t>
  </si>
  <si>
    <t>175 (N)</t>
  </si>
  <si>
    <t>2500 (N)</t>
  </si>
  <si>
    <t>350 (N)</t>
  </si>
  <si>
    <t>3000 (N)</t>
  </si>
  <si>
    <t>4000 (N)</t>
  </si>
  <si>
    <t>5000 (N)</t>
  </si>
  <si>
    <t>700 (N)</t>
  </si>
  <si>
    <t>6000 (N)</t>
  </si>
  <si>
    <t>8000 (N)</t>
  </si>
  <si>
    <t>10000 (N)</t>
  </si>
  <si>
    <t>1750 (N)</t>
  </si>
  <si>
    <t>15000 (N)</t>
  </si>
  <si>
    <t>20000 (N)</t>
  </si>
  <si>
    <t>25000 (N)</t>
  </si>
  <si>
    <t>3500 (N)</t>
  </si>
  <si>
    <t>30000 (N)</t>
  </si>
  <si>
    <t>40000 (N)</t>
  </si>
  <si>
    <t>50000 (N)</t>
  </si>
  <si>
    <t>Select Load Cell</t>
  </si>
  <si>
    <t>BLC-500</t>
  </si>
  <si>
    <t>BLC-200</t>
  </si>
  <si>
    <t>BLC-100</t>
  </si>
  <si>
    <t>BLC-50</t>
  </si>
  <si>
    <t>BLC-20</t>
  </si>
  <si>
    <t>BLC-10</t>
  </si>
  <si>
    <t>BLC-5</t>
  </si>
  <si>
    <t>BLC-2</t>
  </si>
  <si>
    <t>MLC-50K</t>
  </si>
  <si>
    <t>MLC-25K</t>
  </si>
  <si>
    <t>MLC-10K</t>
  </si>
  <si>
    <t>MLC-5K</t>
  </si>
  <si>
    <t>MLC-2500</t>
  </si>
  <si>
    <t>MLC-1500</t>
  </si>
  <si>
    <t>MLC-1000</t>
  </si>
  <si>
    <t>MLC-500</t>
  </si>
  <si>
    <t>MLC-250</t>
  </si>
  <si>
    <t>MLC-125</t>
  </si>
  <si>
    <t>FLC-250P</t>
  </si>
  <si>
    <t>FLC-100P</t>
  </si>
  <si>
    <t>FLC-50P</t>
  </si>
  <si>
    <t>FLC-25P</t>
  </si>
  <si>
    <t>FLC-10P</t>
  </si>
  <si>
    <t>FLC-5P</t>
  </si>
  <si>
    <t>FLC-2P</t>
  </si>
  <si>
    <t>FLC-1P</t>
  </si>
  <si>
    <t>FLC-05P</t>
  </si>
  <si>
    <t>FLC-5KN</t>
  </si>
  <si>
    <t>FLC-2500</t>
  </si>
  <si>
    <t>FLC-2KN</t>
  </si>
  <si>
    <t>FLC-1000</t>
  </si>
  <si>
    <t>FLC-500</t>
  </si>
  <si>
    <t>FLC-5000E</t>
  </si>
  <si>
    <t>FLC-2500E</t>
  </si>
  <si>
    <t>FLC-2000E</t>
  </si>
  <si>
    <t>FLC-1000E</t>
  </si>
  <si>
    <t>FLC-500E</t>
  </si>
  <si>
    <t>FLC-200E</t>
  </si>
  <si>
    <t>FLC-100E</t>
  </si>
  <si>
    <t>FLC-50E</t>
  </si>
  <si>
    <t>FS Capacity (N)</t>
  </si>
  <si>
    <t>Load Cell</t>
  </si>
  <si>
    <t>FMM-550X</t>
  </si>
  <si>
    <t>FMM-550</t>
  </si>
  <si>
    <t>FMM-550S</t>
  </si>
  <si>
    <t>FMM-330X</t>
  </si>
  <si>
    <t>FMM-330</t>
  </si>
  <si>
    <t>FMM-330S</t>
  </si>
  <si>
    <t>FMM-110X</t>
  </si>
  <si>
    <t>FMM-110</t>
  </si>
  <si>
    <t>FMM-110S</t>
  </si>
  <si>
    <t>MMD-50K</t>
  </si>
  <si>
    <t>MMD-30K</t>
  </si>
  <si>
    <t>MMD-10K</t>
  </si>
  <si>
    <t>FMD-50K</t>
  </si>
  <si>
    <t>FMD-30K</t>
  </si>
  <si>
    <t>FMD-10K</t>
  </si>
  <si>
    <t>MMS-5000</t>
  </si>
  <si>
    <t>MMS-2500</t>
  </si>
  <si>
    <t>MMS-1000</t>
  </si>
  <si>
    <t>MMS-500</t>
  </si>
  <si>
    <t>FMS-5000</t>
  </si>
  <si>
    <t>FMS-2500</t>
  </si>
  <si>
    <t>FMS-1000</t>
  </si>
  <si>
    <t>FMS-500</t>
  </si>
  <si>
    <t>FS Travel (mm)</t>
  </si>
  <si>
    <t>Test Frame Model</t>
  </si>
  <si>
    <t>L3</t>
  </si>
  <si>
    <t>L2Plus</t>
  </si>
  <si>
    <t>S2</t>
  </si>
  <si>
    <t>L2</t>
  </si>
  <si>
    <t>S1</t>
  </si>
  <si>
    <t>L1</t>
  </si>
  <si>
    <t>Lx Type</t>
  </si>
  <si>
    <t>All-in-one</t>
  </si>
  <si>
    <t>Tablet</t>
  </si>
  <si>
    <t>User Interface</t>
  </si>
  <si>
    <t xml:space="preserve">http://www.latlong.net/convert-address-to-lat-long.html </t>
  </si>
  <si>
    <t>GRAVITY (m/s²):</t>
  </si>
  <si>
    <t>https://geodesy.noaa.gov/cgi-bin/grav_pdx.prl</t>
  </si>
  <si>
    <t>Must be adjusted for deadwieght calibrations</t>
  </si>
  <si>
    <t>To Find Lat &amp; Longitude</t>
  </si>
  <si>
    <t>To Find Local Gravity</t>
  </si>
  <si>
    <t>Enter Contact Name</t>
  </si>
  <si>
    <t>Enter Company</t>
  </si>
  <si>
    <t>Enter Address</t>
  </si>
  <si>
    <t>Enter City/State/Postal</t>
  </si>
  <si>
    <t>Enter Country</t>
  </si>
  <si>
    <t>Enter Customer Order #</t>
  </si>
  <si>
    <t>Enter Starrett Order #</t>
  </si>
  <si>
    <t>Software Version:</t>
  </si>
  <si>
    <t>Firmware Version:</t>
  </si>
  <si>
    <t>Press Lx (top right), SETTINGS (Gear), ABOUT</t>
  </si>
  <si>
    <t>Press Lx (top right), SETTINGS (Gear), ABOUT, HARDWARE</t>
  </si>
  <si>
    <t>See Load Cell for serial number</t>
  </si>
  <si>
    <t>See back of test frame for serial number</t>
  </si>
  <si>
    <t>ENTER TECHNICIAN NAME</t>
  </si>
  <si>
    <t>Make</t>
  </si>
  <si>
    <t>Model</t>
  </si>
  <si>
    <t>Cal Agency</t>
  </si>
  <si>
    <t>Cal Date</t>
  </si>
  <si>
    <t>Due Date</t>
  </si>
  <si>
    <t>ID</t>
  </si>
  <si>
    <t>Capacity</t>
  </si>
  <si>
    <t>Units</t>
  </si>
  <si>
    <t>Resolution</t>
  </si>
  <si>
    <t>Accuracy +/- % FS</t>
  </si>
  <si>
    <t>Uncertainty (%)</t>
  </si>
  <si>
    <t>Cal Temperature</t>
  </si>
  <si>
    <t>1610BBT-9KN</t>
  </si>
  <si>
    <t>1606BGR-250N</t>
  </si>
  <si>
    <t>1606BGR-1500N</t>
  </si>
  <si>
    <t>1606BBT-4.5KN</t>
  </si>
  <si>
    <t>Capacity (Max Load)</t>
  </si>
  <si>
    <t>lbf</t>
  </si>
  <si>
    <t>kg</t>
  </si>
  <si>
    <t>Nominal</t>
  </si>
  <si>
    <t>Observed</t>
  </si>
  <si>
    <t>INSTRUCTIONS</t>
  </si>
  <si>
    <r>
      <t>Varianceu</t>
    </r>
    <r>
      <rPr>
        <b/>
        <vertAlign val="superscript"/>
        <sz val="10"/>
        <color indexed="8"/>
        <rFont val="Times New Roman"/>
        <family val="1"/>
      </rPr>
      <t>2</t>
    </r>
  </si>
  <si>
    <t>Summation</t>
  </si>
  <si>
    <t>Repeat</t>
  </si>
  <si>
    <t>Master Cell Accuarcy</t>
  </si>
  <si>
    <t>Master Cell Uncertainty (%)</t>
  </si>
  <si>
    <t>Resolution @ Load (N)</t>
  </si>
  <si>
    <t>Resolution @ Zero (N)</t>
  </si>
  <si>
    <t>Temp (F) Dev Cal / Test</t>
  </si>
  <si>
    <t xml:space="preserve">Drift,Time of Calibration </t>
  </si>
  <si>
    <t>Type</t>
  </si>
  <si>
    <t>Distribution</t>
  </si>
  <si>
    <t>Divisor</t>
  </si>
  <si>
    <t>A</t>
  </si>
  <si>
    <t>B</t>
  </si>
  <si>
    <t>Normal</t>
  </si>
  <si>
    <t>Rect</t>
  </si>
  <si>
    <t>RELATIVE UNCERTAINTY (%)</t>
  </si>
  <si>
    <t>STARRETT ORDER #:</t>
  </si>
  <si>
    <t>CUSTOMER ORDER #:</t>
  </si>
  <si>
    <r>
      <t xml:space="preserve">Standard Uncertainty, </t>
    </r>
    <r>
      <rPr>
        <b/>
        <sz val="9"/>
        <color indexed="8"/>
        <rFont val="Times New Roman"/>
        <family val="1"/>
      </rPr>
      <t>uc</t>
    </r>
  </si>
  <si>
    <t>Summary of Results</t>
  </si>
  <si>
    <t>Enter Display Resolution of Load</t>
  </si>
  <si>
    <t>See Lx (top right), SETTINGS (gear), DISPLAY SETTINGS</t>
  </si>
  <si>
    <t>Calibration Tolerance</t>
  </si>
  <si>
    <t>EMU (Estimated Measurement Uncertainty) K=2</t>
  </si>
  <si>
    <t>As Left Weight (g)</t>
  </si>
  <si>
    <t>Lower</t>
  </si>
  <si>
    <t>Upper</t>
  </si>
  <si>
    <t>mg</t>
  </si>
  <si>
    <t>g</t>
  </si>
  <si>
    <t>Troemner Inc.</t>
  </si>
  <si>
    <t>5000g</t>
  </si>
  <si>
    <t>grams</t>
  </si>
  <si>
    <t>4000g</t>
  </si>
  <si>
    <t>3000g</t>
  </si>
  <si>
    <t>2000g</t>
  </si>
  <si>
    <t>1000g</t>
  </si>
  <si>
    <t>500g</t>
  </si>
  <si>
    <t>400g</t>
  </si>
  <si>
    <t>300g</t>
  </si>
  <si>
    <t>200g</t>
  </si>
  <si>
    <t>100g</t>
  </si>
  <si>
    <t>50g</t>
  </si>
  <si>
    <t>USED IN REPORT DROP DOWN LIST</t>
  </si>
  <si>
    <t>Standard</t>
  </si>
  <si>
    <t>Starrett Reccommends 10,000:1  (Divide load cell capacity by 10,000)</t>
  </si>
  <si>
    <t>Run 3 is used only in the calculation of Uncertainty.</t>
  </si>
  <si>
    <r>
      <t xml:space="preserve">Uncertainty of Measurement </t>
    </r>
    <r>
      <rPr>
        <b/>
        <sz val="9"/>
        <color rgb="FF000000"/>
        <rFont val="Times New Roman"/>
        <family val="1"/>
      </rPr>
      <t>U</t>
    </r>
    <r>
      <rPr>
        <sz val="9"/>
        <color rgb="FF000000"/>
        <rFont val="Times New Roman"/>
        <family val="1"/>
      </rPr>
      <t>, (+/-) N is expressed with a coverage factor of k=2.</t>
    </r>
  </si>
  <si>
    <r>
      <t xml:space="preserve">Uncertainty (%) is expressed when the Uncertainty of Measurement </t>
    </r>
    <r>
      <rPr>
        <b/>
        <sz val="9"/>
        <color rgb="FF000000"/>
        <rFont val="Times New Roman"/>
        <family val="1"/>
      </rPr>
      <t>U</t>
    </r>
    <r>
      <rPr>
        <sz val="9"/>
        <color rgb="FF000000"/>
        <rFont val="Times New Roman"/>
        <family val="1"/>
      </rPr>
      <t xml:space="preserve"> is applied to a test point. </t>
    </r>
  </si>
  <si>
    <t>As Found</t>
  </si>
  <si>
    <t>As Left</t>
  </si>
  <si>
    <t>LOAD SUMMARY</t>
  </si>
  <si>
    <t>DISTANCE SUMMARY</t>
  </si>
  <si>
    <t>Display Resolution (mm):</t>
  </si>
  <si>
    <t>Graph</t>
  </si>
  <si>
    <t>Error Tolerance</t>
  </si>
  <si>
    <t>Tension Correction Data</t>
  </si>
  <si>
    <t>Compression Correction Data</t>
  </si>
  <si>
    <t>Lx Corrections Point</t>
  </si>
  <si>
    <t>#1</t>
  </si>
  <si>
    <t>#2</t>
  </si>
  <si>
    <t>#3</t>
  </si>
  <si>
    <t>#4</t>
  </si>
  <si>
    <t>#5</t>
  </si>
  <si>
    <t>#6</t>
  </si>
  <si>
    <t>#7</t>
  </si>
  <si>
    <t>#8</t>
  </si>
  <si>
    <t>#9</t>
  </si>
  <si>
    <t>#10</t>
  </si>
  <si>
    <t>ASTM E4 REPEAT %</t>
  </si>
  <si>
    <t>Starrett Electronic</t>
  </si>
  <si>
    <t>Calibration Procedure</t>
  </si>
  <si>
    <t>Starrett Deadweight</t>
  </si>
  <si>
    <t>Deadweights</t>
  </si>
  <si>
    <t>Essco</t>
  </si>
  <si>
    <t>5 (g)</t>
  </si>
  <si>
    <t>10 (g)</t>
  </si>
  <si>
    <t>20 (g)</t>
  </si>
  <si>
    <t>35 (g)</t>
  </si>
  <si>
    <t>50 (g)</t>
  </si>
  <si>
    <t>40 (g)</t>
  </si>
  <si>
    <t>70 (g)</t>
  </si>
  <si>
    <t>100 (g)</t>
  </si>
  <si>
    <t>80 (g)</t>
  </si>
  <si>
    <t>140 (g)</t>
  </si>
  <si>
    <t>200 (g)</t>
  </si>
  <si>
    <t>350 (g)</t>
  </si>
  <si>
    <t>500 (g)</t>
  </si>
  <si>
    <t>400 (g)</t>
  </si>
  <si>
    <t>700 (g)</t>
  </si>
  <si>
    <t>1000 (g)</t>
  </si>
  <si>
    <t>800 (g)</t>
  </si>
  <si>
    <t>1400 (g)</t>
  </si>
  <si>
    <t>2000 (g)</t>
  </si>
  <si>
    <t>2500 (g)</t>
  </si>
  <si>
    <t>3000 (g)</t>
  </si>
  <si>
    <t>4000 (g)</t>
  </si>
  <si>
    <t>5000 (g)</t>
  </si>
  <si>
    <t>6000 (g)</t>
  </si>
  <si>
    <t>8000 (g)</t>
  </si>
  <si>
    <t>10000 (g)</t>
  </si>
  <si>
    <t>125 (N)</t>
  </si>
  <si>
    <t>Weight 1</t>
  </si>
  <si>
    <t>Weight 2</t>
  </si>
  <si>
    <t>Weight 3</t>
  </si>
  <si>
    <t>Use Weights</t>
  </si>
  <si>
    <t>TEST POINTS</t>
  </si>
  <si>
    <t>RUN 1 OBSERVED</t>
  </si>
  <si>
    <t>RUN 2 NOMINAL</t>
  </si>
  <si>
    <t>RUN 2 OBSERVED</t>
  </si>
  <si>
    <t>AS LEFT LOAD DATA - COMPRESSION DATA POINT SUMMARY - 100% RANGE</t>
  </si>
  <si>
    <t>Select Load Cell Used in Calibraiton from dropdown list
For 100N (20lb) load cells and smaller deadweights are used</t>
  </si>
  <si>
    <t>Procedure</t>
  </si>
  <si>
    <t>Elect/Dead</t>
  </si>
  <si>
    <t>Electronic</t>
  </si>
  <si>
    <t>Deadweight</t>
  </si>
  <si>
    <t>Uncertainty Budget</t>
  </si>
  <si>
    <t>RUN 1 NOMINAL</t>
  </si>
  <si>
    <t>RUN 3 NOMINAL</t>
  </si>
  <si>
    <t>RUN 3 OBSERVED</t>
  </si>
  <si>
    <t>UNCERTAINTY OF MEASUREMENT U (+/-)</t>
  </si>
  <si>
    <t>AS FOUND LOAD DATA - TENSION DATA POINT SUMMARY - 100% RANGE</t>
  </si>
  <si>
    <t>AS FOUND LOAD DATA - COMPRESSION DATA POINT SUMMARY - 100% RANGE</t>
  </si>
  <si>
    <t>AS LEFT LOAD DATA - TENSION DATA POINT SUMMARY - 100% RANGE</t>
  </si>
  <si>
    <t>Deadweight Combinations</t>
  </si>
  <si>
    <t>BOTTOM END OF REPORT</t>
  </si>
  <si>
    <t>BOTTOM END OF INSTRUCTIONS</t>
  </si>
  <si>
    <t>Uncorrected Weights (grams)</t>
  </si>
  <si>
    <t>Weight Accuarcies</t>
  </si>
  <si>
    <t>Weight Uncertainties (g) K=2</t>
  </si>
  <si>
    <t>Total/2 for +/-</t>
  </si>
  <si>
    <t>Total</t>
  </si>
  <si>
    <t>Combine Master Weight Accuarcy</t>
  </si>
  <si>
    <t>Combine Master Weight Uncertainty (g)</t>
  </si>
  <si>
    <t>UNCERTAINTY U (+/-G)</t>
  </si>
  <si>
    <t>Resolution @ Load</t>
  </si>
  <si>
    <t>Resolution @ Zero</t>
  </si>
  <si>
    <t>N/A</t>
  </si>
  <si>
    <t>For Deadweight calibrations must be set to Grams)</t>
  </si>
  <si>
    <t>Error</t>
  </si>
  <si>
    <t/>
  </si>
  <si>
    <t>DISTANCE DATA</t>
  </si>
  <si>
    <t>Distance (mm)</t>
  </si>
  <si>
    <t>Nominal (mm)</t>
  </si>
  <si>
    <t>Observed (mm)</t>
  </si>
  <si>
    <t>UNCERTAINTY 
U (+/-mm)</t>
  </si>
  <si>
    <r>
      <t xml:space="preserve">Uncertainty of Measurement </t>
    </r>
    <r>
      <rPr>
        <b/>
        <sz val="9"/>
        <color rgb="FF000000"/>
        <rFont val="Times New Roman"/>
        <family val="1"/>
      </rPr>
      <t>U</t>
    </r>
    <r>
      <rPr>
        <sz val="9"/>
        <color rgb="FF000000"/>
        <rFont val="Times New Roman"/>
        <family val="1"/>
      </rPr>
      <t>, (+/-) mm is expressed with a coverage factor of k=2.</t>
    </r>
  </si>
  <si>
    <t>Indicator Uncertainty (%)</t>
  </si>
  <si>
    <t>Resolution of FMS System</t>
  </si>
  <si>
    <t>Temperature</t>
  </si>
  <si>
    <t>UNCERTAINTY U (+/-mm)</t>
  </si>
  <si>
    <t>L2/L3 Correction Data for Input</t>
  </si>
  <si>
    <t>Classification of Displacement Measuring Systems</t>
  </si>
  <si>
    <t>Classification</t>
  </si>
  <si>
    <t>Resolution not to exceed the Greater of:</t>
  </si>
  <si>
    <t>Error not to exceed the Greater of:</t>
  </si>
  <si>
    <t>Fixed Error</t>
  </si>
  <si>
    <t>Relative Error</t>
  </si>
  <si>
    <t>mm (in)</t>
  </si>
  <si>
    <t>% Reading</t>
  </si>
  <si>
    <t>% of Displacement</t>
  </si>
  <si>
    <t>Class A</t>
  </si>
  <si>
    <t>+/-0.25</t>
  </si>
  <si>
    <t>+/-0.5</t>
  </si>
  <si>
    <t>Class B</t>
  </si>
  <si>
    <t>+/-1.0</t>
  </si>
  <si>
    <t>Class C</t>
  </si>
  <si>
    <t>Class D</t>
  </si>
  <si>
    <t>+/-1.5</t>
  </si>
  <si>
    <t>Indicator Accuary (mm)</t>
  </si>
  <si>
    <t xml:space="preserve">0      - </t>
  </si>
  <si>
    <t>0 - 50mm</t>
  </si>
  <si>
    <t>Max Error (mm)</t>
  </si>
  <si>
    <t>Max Error (%)</t>
  </si>
  <si>
    <t>Repeat Error</t>
  </si>
  <si>
    <t>Test Range (g or N)</t>
  </si>
  <si>
    <t>Max Error</t>
  </si>
  <si>
    <t>Run 1</t>
  </si>
  <si>
    <t xml:space="preserve">Run 2 </t>
  </si>
  <si>
    <t>Run 3</t>
  </si>
  <si>
    <t>Max Repeat Error (mm)</t>
  </si>
  <si>
    <t>Max Repeat Error (%)</t>
  </si>
  <si>
    <t>Max Repeat Error</t>
  </si>
  <si>
    <t xml:space="preserve">mm </t>
  </si>
  <si>
    <t>in</t>
  </si>
  <si>
    <t>Fixed Error (+/-)</t>
  </si>
  <si>
    <t>Relative Error (+/-)</t>
  </si>
  <si>
    <t>Max travel for system class</t>
  </si>
  <si>
    <t>Relative Error Limit</t>
  </si>
  <si>
    <t>ASTM E2309 REPEAT %</t>
  </si>
  <si>
    <t>FINAL REPORT BELOW YELLOW LINE - FILL IN ALL ORANGE HIGHLIGHTED FIELDS AT TOP OR REPORT</t>
  </si>
  <si>
    <t>X</t>
  </si>
  <si>
    <t>"X"s in column A show rows that need data entered</t>
  </si>
  <si>
    <r>
      <rPr>
        <b/>
        <u/>
        <sz val="11"/>
        <rFont val="Calibri"/>
        <family val="2"/>
        <scheme val="minor"/>
      </rPr>
      <t>ENTER RUN 1 THROUGH 3 NOMINALS AND OBESERVED</t>
    </r>
    <r>
      <rPr>
        <sz val="11"/>
        <rFont val="Calibri"/>
        <family val="2"/>
        <scheme val="minor"/>
      </rPr>
      <t xml:space="preserve">
</t>
    </r>
    <r>
      <rPr>
        <sz val="10"/>
        <rFont val="Calibri"/>
        <family val="2"/>
        <scheme val="minor"/>
      </rPr>
      <t>If Runs 1/2/3 "% Error" and "ASTM E4 Repeat %" have less than 1% error no corrections or after readings required
If at least one run greater than 1% error corrections and after are readings required</t>
    </r>
  </si>
  <si>
    <r>
      <rPr>
        <b/>
        <u/>
        <sz val="11"/>
        <rFont val="Calibri"/>
        <family val="2"/>
        <scheme val="minor"/>
      </rPr>
      <t>ENTER RUN 1 THROUGH 3 NOMINALS AND OBESERVED</t>
    </r>
    <r>
      <rPr>
        <sz val="11"/>
        <rFont val="Calibri"/>
        <family val="2"/>
        <scheme val="minor"/>
      </rPr>
      <t xml:space="preserve">
</t>
    </r>
    <r>
      <rPr>
        <sz val="10"/>
        <rFont val="Calibri"/>
        <family val="2"/>
        <scheme val="minor"/>
      </rPr>
      <t>Runs 1/2/3 "% Error" and "ASTM E4 Repeat %"  must have less than 1% error
If at least one run greater than 1%  after error corrections calibration must be redone</t>
    </r>
  </si>
  <si>
    <r>
      <rPr>
        <b/>
        <u/>
        <sz val="11"/>
        <rFont val="Calibri"/>
        <family val="2"/>
        <scheme val="minor"/>
      </rPr>
      <t>ENTER RUN 1 THROUGH 3 NOMINALS AND OBESERVED</t>
    </r>
    <r>
      <rPr>
        <sz val="11"/>
        <rFont val="Calibri"/>
        <family val="2"/>
        <scheme val="minor"/>
      </rPr>
      <t xml:space="preserve">
</t>
    </r>
  </si>
  <si>
    <t>Troemner, LLC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</si>
</sst>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00%"/>
    <numFmt numFmtId="165" formatCode="0.00000"/>
    <numFmt numFmtId="166" formatCode="_(* #,##0.00000_);_(* \(#,##0.00000\);_(* &quot;-&quot;??_);_(@_)"/>
    <numFmt numFmtId="167" formatCode="0.0000%"/>
    <numFmt numFmtId="168" formatCode="0.000"/>
  </numFmts>
  <fonts count="35"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sz val="8"/>
      <color theme="1"/>
      <name val="Calibri"/>
      <family val="2"/>
      <scheme val="minor"/>
    </font>
    <font>
      <sz val="11"/>
      <color rgb="FF9C6500"/>
      <name val="Calibri"/>
      <family val="2"/>
      <scheme val="minor"/>
    </font>
    <font>
      <sz val="11"/>
      <color rgb="FF3F3F76"/>
      <name val="Calibri"/>
      <family val="2"/>
      <scheme val="minor"/>
    </font>
    <font>
      <b/>
      <sz val="11"/>
      <color theme="1"/>
      <name val="Calibri"/>
      <family val="2"/>
      <scheme val="minor"/>
    </font>
    <font>
      <sz val="11"/>
      <color theme="0"/>
      <name val="Calibri"/>
      <family val="2"/>
      <scheme val="minor"/>
    </font>
    <font>
      <sz val="10"/>
      <name val="Arial"/>
      <family val="2"/>
    </font>
    <font>
      <b/>
      <sz val="9"/>
      <color indexed="81"/>
      <name val="Tahoma"/>
      <family val="2"/>
    </font>
    <font>
      <sz val="10"/>
      <name val="Calibri"/>
      <family val="2"/>
      <scheme val="minor"/>
    </font>
    <font>
      <b/>
      <sz val="11"/>
      <color rgb="FF000000"/>
      <name val="Calibri"/>
      <family val="2"/>
      <scheme val="minor"/>
    </font>
    <font>
      <sz val="11"/>
      <color rgb="FF000000"/>
      <name val="Calibri"/>
      <family val="2"/>
      <scheme val="minor"/>
    </font>
    <font>
      <i/>
      <sz val="10"/>
      <name val="Calibri"/>
      <family val="2"/>
      <scheme val="minor"/>
    </font>
    <font>
      <sz val="11"/>
      <name val="Calibri"/>
      <family val="2"/>
      <scheme val="minor"/>
    </font>
    <font>
      <i/>
      <sz val="10"/>
      <color theme="1"/>
      <name val="Calibri"/>
      <family val="2"/>
      <scheme val="minor"/>
    </font>
    <font>
      <u/>
      <sz val="10"/>
      <color theme="10"/>
      <name val="Calibri"/>
      <family val="2"/>
      <scheme val="minor"/>
    </font>
    <font>
      <b/>
      <sz val="10"/>
      <color rgb="FF000000"/>
      <name val="Times New Roman"/>
      <family val="1"/>
    </font>
    <font>
      <b/>
      <vertAlign val="superscript"/>
      <sz val="10"/>
      <color indexed="8"/>
      <name val="Times New Roman"/>
      <family val="1"/>
    </font>
    <font>
      <b/>
      <sz val="9"/>
      <color theme="1"/>
      <name val="Calibri"/>
      <family val="2"/>
      <scheme val="minor"/>
    </font>
    <font>
      <b/>
      <sz val="9"/>
      <color indexed="8"/>
      <name val="Times New Roman"/>
      <family val="1"/>
    </font>
    <font>
      <b/>
      <sz val="11"/>
      <name val="Calibri"/>
      <family val="2"/>
      <scheme val="minor"/>
    </font>
    <font>
      <sz val="9"/>
      <color indexed="81"/>
      <name val="Tahoma"/>
      <family val="2"/>
    </font>
    <font>
      <sz val="9"/>
      <color rgb="FF000000"/>
      <name val="Times New Roman"/>
      <family val="1"/>
    </font>
    <font>
      <b/>
      <sz val="9"/>
      <color rgb="FF000000"/>
      <name val="Times New Roman"/>
      <family val="1"/>
    </font>
    <font>
      <sz val="8"/>
      <name val="Calibri"/>
      <family val="2"/>
      <scheme val="minor"/>
    </font>
    <font>
      <b/>
      <sz val="8"/>
      <color theme="1"/>
      <name val="Calibri"/>
      <family val="2"/>
      <scheme val="minor"/>
    </font>
    <font>
      <b/>
      <sz val="11"/>
      <color rgb="FFFA7D00"/>
      <name val="Calibri"/>
      <family val="2"/>
      <scheme val="minor"/>
    </font>
    <font>
      <sz val="9"/>
      <color theme="1"/>
      <name val="Calibri"/>
      <family val="2"/>
      <scheme val="minor"/>
    </font>
    <font>
      <b/>
      <sz val="10"/>
      <name val="Calibri"/>
      <family val="2"/>
      <scheme val="minor"/>
    </font>
    <font>
      <b/>
      <sz val="11"/>
      <color theme="0"/>
      <name val="Calibri"/>
      <family val="2"/>
      <scheme val="minor"/>
    </font>
    <font>
      <b/>
      <sz val="10"/>
      <color theme="0"/>
      <name val="Calibri"/>
      <family val="2"/>
      <scheme val="minor"/>
    </font>
    <font>
      <b/>
      <sz val="11"/>
      <color rgb="FF3F3F76"/>
      <name val="Calibri"/>
      <family val="2"/>
      <scheme val="minor"/>
    </font>
    <font>
      <b/>
      <u/>
      <sz val="11"/>
      <name val="Calibri"/>
      <family val="2"/>
      <scheme val="minor"/>
    </font>
  </fonts>
  <fills count="19">
    <fill>
      <patternFill patternType="none"/>
    </fill>
    <fill>
      <patternFill patternType="gray125"/>
    </fill>
    <fill>
      <patternFill patternType="solid">
        <fgColor rgb="FFFFEB9C"/>
      </patternFill>
    </fill>
    <fill>
      <patternFill patternType="solid">
        <fgColor rgb="FFFFCC99"/>
      </patternFill>
    </fill>
    <fill>
      <patternFill patternType="solid">
        <fgColor rgb="FFFFFFCC"/>
      </patternFill>
    </fill>
    <fill>
      <patternFill patternType="solid">
        <fgColor theme="5"/>
      </patternFill>
    </fill>
    <fill>
      <patternFill patternType="solid">
        <fgColor theme="6"/>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rgb="FF00B0F0"/>
        <bgColor indexed="64"/>
      </patternFill>
    </fill>
    <fill>
      <patternFill patternType="solid">
        <fgColor theme="0" tint="-0.249977111117893"/>
        <bgColor indexed="64"/>
      </patternFill>
    </fill>
    <fill>
      <patternFill patternType="solid">
        <fgColor rgb="FFFF0000"/>
        <bgColor indexed="64"/>
      </patternFill>
    </fill>
    <fill>
      <patternFill patternType="solid">
        <fgColor rgb="FF7030A0"/>
        <bgColor indexed="64"/>
      </patternFill>
    </fill>
    <fill>
      <patternFill patternType="solid">
        <fgColor rgb="FFF2F2F2"/>
      </patternFill>
    </fill>
    <fill>
      <patternFill patternType="solid">
        <fgColor theme="4" tint="0.59999389629810485"/>
        <bgColor indexed="65"/>
      </patternFill>
    </fill>
    <fill>
      <patternFill patternType="solid">
        <fgColor theme="4"/>
      </patternFill>
    </fill>
    <fill>
      <patternFill patternType="solid">
        <fgColor theme="1"/>
        <bgColor indexed="64"/>
      </patternFill>
    </fill>
  </fills>
  <borders count="31">
    <border>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B2B2B2"/>
      </left>
      <right/>
      <top style="thin">
        <color rgb="FFB2B2B2"/>
      </top>
      <bottom style="thin">
        <color rgb="FFB2B2B2"/>
      </bottom>
      <diagonal/>
    </border>
    <border>
      <left/>
      <right style="thin">
        <color rgb="FFB2B2B2"/>
      </right>
      <top style="thin">
        <color rgb="FFB2B2B2"/>
      </top>
      <bottom style="thin">
        <color rgb="FFB2B2B2"/>
      </bottom>
      <diagonal/>
    </border>
    <border>
      <left/>
      <right style="thick">
        <color auto="1"/>
      </right>
      <top/>
      <bottom/>
      <diagonal/>
    </border>
    <border>
      <left style="thin">
        <color rgb="FF7F7F7F"/>
      </left>
      <right style="thick">
        <color auto="1"/>
      </right>
      <top/>
      <bottom style="thin">
        <color rgb="FF7F7F7F"/>
      </bottom>
      <diagonal/>
    </border>
    <border>
      <left style="thin">
        <color rgb="FF7F7F7F"/>
      </left>
      <right style="thick">
        <color auto="1"/>
      </right>
      <top style="thin">
        <color rgb="FF7F7F7F"/>
      </top>
      <bottom style="thin">
        <color rgb="FF7F7F7F"/>
      </bottom>
      <diagonal/>
    </border>
  </borders>
  <cellStyleXfs count="10">
    <xf numFmtId="0" fontId="0" fillId="0" borderId="0"/>
    <xf numFmtId="9" fontId="1" fillId="0" borderId="0" applyFont="0" applyFill="0" applyBorder="0" applyAlignment="0" applyProtection="0"/>
    <xf numFmtId="43" fontId="1" fillId="0" borderId="0" applyFont="0" applyFill="0" applyBorder="0" applyAlignment="0" applyProtection="0"/>
    <xf numFmtId="0" fontId="5" fillId="2" borderId="0" applyNumberFormat="0" applyBorder="0" applyAlignment="0" applyProtection="0"/>
    <xf numFmtId="0" fontId="6" fillId="3" borderId="7" applyNumberFormat="0" applyAlignment="0" applyProtection="0"/>
    <xf numFmtId="0" fontId="1" fillId="4" borderId="8" applyNumberFormat="0" applyFont="0" applyAlignment="0" applyProtection="0"/>
    <xf numFmtId="0" fontId="8" fillId="5" borderId="0" applyNumberFormat="0" applyBorder="0" applyAlignment="0" applyProtection="0"/>
    <xf numFmtId="0" fontId="28" fillId="15" borderId="7" applyNumberFormat="0" applyAlignment="0" applyProtection="0"/>
    <xf numFmtId="0" fontId="1" fillId="16" borderId="0" applyNumberFormat="0" applyBorder="0" applyAlignment="0" applyProtection="0"/>
    <xf numFmtId="0" fontId="8" fillId="17" borderId="0" applyNumberFormat="0" applyBorder="0" applyAlignment="0" applyProtection="0"/>
  </cellStyleXfs>
  <cellXfs count="406">
    <xf numFmtId="0" fontId="0" fillId="0" borderId="0" xfId="0"/>
    <xf numFmtId="0" fontId="3" fillId="0" borderId="0" xfId="0" applyFont="1" applyBorder="1" applyProtection="1">
      <protection hidden="1"/>
    </xf>
    <xf numFmtId="0" fontId="2" fillId="0" borderId="0" xfId="0" applyFont="1" applyBorder="1" applyProtection="1">
      <protection hidden="1"/>
    </xf>
    <xf numFmtId="0" fontId="2" fillId="0" borderId="4" xfId="0" applyFont="1" applyBorder="1" applyAlignment="1" applyProtection="1">
      <alignment horizontal="center" vertical="top" wrapText="1"/>
      <protection hidden="1"/>
    </xf>
    <xf numFmtId="2" fontId="2" fillId="0" borderId="0" xfId="0" applyNumberFormat="1" applyFont="1" applyAlignment="1" applyProtection="1">
      <alignment horizontal="right"/>
      <protection hidden="1"/>
    </xf>
    <xf numFmtId="2" fontId="2" fillId="0" borderId="0" xfId="0" applyNumberFormat="1" applyFont="1" applyAlignment="1" applyProtection="1">
      <alignment horizontal="left"/>
      <protection hidden="1"/>
    </xf>
    <xf numFmtId="10" fontId="2" fillId="0" borderId="0" xfId="0" applyNumberFormat="1" applyFont="1" applyAlignment="1" applyProtection="1">
      <alignment horizontal="center"/>
      <protection hidden="1"/>
    </xf>
    <xf numFmtId="0" fontId="0" fillId="0" borderId="0" xfId="0"/>
    <xf numFmtId="10" fontId="2" fillId="0" borderId="0" xfId="1" applyNumberFormat="1" applyFont="1" applyAlignment="1" applyProtection="1">
      <alignment horizontal="center"/>
      <protection hidden="1"/>
    </xf>
    <xf numFmtId="0" fontId="2" fillId="0" borderId="0" xfId="0" applyFont="1" applyBorder="1" applyAlignment="1" applyProtection="1">
      <alignment horizontal="center"/>
      <protection hidden="1"/>
    </xf>
    <xf numFmtId="0" fontId="2" fillId="0" borderId="0" xfId="0" applyFont="1" applyAlignment="1" applyProtection="1">
      <alignment horizontal="center"/>
      <protection hidden="1"/>
    </xf>
    <xf numFmtId="0" fontId="0" fillId="0" borderId="0" xfId="0"/>
    <xf numFmtId="0" fontId="2" fillId="0" borderId="0" xfId="0" applyFont="1" applyProtection="1">
      <protection hidden="1"/>
    </xf>
    <xf numFmtId="0" fontId="0" fillId="0" borderId="0" xfId="0"/>
    <xf numFmtId="0" fontId="0" fillId="0" borderId="0" xfId="0"/>
    <xf numFmtId="0" fontId="2" fillId="0" borderId="0" xfId="0" applyFont="1" applyProtection="1">
      <protection hidden="1"/>
    </xf>
    <xf numFmtId="0" fontId="0" fillId="0" borderId="0" xfId="0" applyBorder="1"/>
    <xf numFmtId="0" fontId="7" fillId="0" borderId="0" xfId="0" applyFont="1"/>
    <xf numFmtId="0" fontId="0" fillId="0" borderId="4" xfId="0" applyFont="1" applyBorder="1"/>
    <xf numFmtId="0" fontId="0" fillId="6" borderId="4" xfId="0" applyFont="1" applyFill="1" applyBorder="1" applyAlignment="1">
      <alignment horizontal="center"/>
    </xf>
    <xf numFmtId="0" fontId="0" fillId="7" borderId="9" xfId="0" applyFill="1" applyBorder="1" applyAlignment="1">
      <alignment horizontal="right"/>
    </xf>
    <xf numFmtId="0" fontId="0" fillId="0" borderId="9" xfId="0" applyBorder="1" applyAlignment="1">
      <alignment horizontal="right"/>
    </xf>
    <xf numFmtId="0" fontId="0" fillId="0" borderId="9" xfId="0" quotePrefix="1" applyBorder="1" applyAlignment="1">
      <alignment horizontal="right"/>
    </xf>
    <xf numFmtId="0" fontId="0" fillId="0" borderId="9" xfId="0" applyBorder="1"/>
    <xf numFmtId="0" fontId="0" fillId="0" borderId="9" xfId="0" quotePrefix="1" applyBorder="1" applyAlignment="1">
      <alignment horizontal="center"/>
    </xf>
    <xf numFmtId="0" fontId="0" fillId="7" borderId="9" xfId="0" applyFont="1" applyFill="1" applyBorder="1" applyAlignment="1">
      <alignment horizontal="right"/>
    </xf>
    <xf numFmtId="0" fontId="0" fillId="0" borderId="9" xfId="0" applyFont="1" applyFill="1" applyBorder="1" applyAlignment="1">
      <alignment horizontal="right"/>
    </xf>
    <xf numFmtId="0" fontId="0" fillId="0" borderId="9" xfId="0" applyFill="1" applyBorder="1" applyAlignment="1">
      <alignment horizontal="right"/>
    </xf>
    <xf numFmtId="0" fontId="0" fillId="0" borderId="9" xfId="0" applyFill="1" applyBorder="1"/>
    <xf numFmtId="0" fontId="0" fillId="7" borderId="9" xfId="0" applyFill="1" applyBorder="1"/>
    <xf numFmtId="0" fontId="0" fillId="7" borderId="9" xfId="0" applyFont="1" applyFill="1" applyBorder="1"/>
    <xf numFmtId="3" fontId="0" fillId="0" borderId="9" xfId="0" applyNumberFormat="1" applyBorder="1"/>
    <xf numFmtId="0" fontId="9" fillId="0" borderId="9" xfId="0" quotePrefix="1" applyNumberFormat="1" applyFont="1" applyFill="1" applyBorder="1" applyAlignment="1" applyProtection="1">
      <alignment horizontal="left"/>
    </xf>
    <xf numFmtId="0" fontId="7" fillId="0" borderId="9" xfId="0" applyFont="1" applyBorder="1"/>
    <xf numFmtId="0" fontId="0" fillId="0" borderId="9" xfId="0" applyFont="1" applyBorder="1"/>
    <xf numFmtId="0" fontId="0" fillId="4" borderId="0" xfId="5" applyFont="1" applyBorder="1"/>
    <xf numFmtId="0" fontId="0" fillId="0" borderId="0" xfId="0" applyFill="1" applyBorder="1"/>
    <xf numFmtId="0" fontId="0" fillId="0" borderId="0" xfId="5" applyFont="1" applyFill="1" applyBorder="1"/>
    <xf numFmtId="0" fontId="0" fillId="4" borderId="13" xfId="5" applyFont="1" applyBorder="1"/>
    <xf numFmtId="0" fontId="0" fillId="4" borderId="14" xfId="5" applyFont="1" applyBorder="1"/>
    <xf numFmtId="0" fontId="0" fillId="4" borderId="15" xfId="5" applyFont="1" applyBorder="1"/>
    <xf numFmtId="0" fontId="0" fillId="4" borderId="5" xfId="5" applyFont="1" applyBorder="1"/>
    <xf numFmtId="0" fontId="0" fillId="4" borderId="2" xfId="5" applyFont="1" applyBorder="1"/>
    <xf numFmtId="0" fontId="0" fillId="4" borderId="3" xfId="5" applyFont="1" applyBorder="1"/>
    <xf numFmtId="0" fontId="0" fillId="4" borderId="4" xfId="5" applyFont="1" applyBorder="1"/>
    <xf numFmtId="0" fontId="0" fillId="4" borderId="1" xfId="5" applyFont="1" applyBorder="1"/>
    <xf numFmtId="0" fontId="12" fillId="0" borderId="9" xfId="0" applyFont="1" applyBorder="1" applyAlignment="1">
      <alignment horizontal="center" vertical="center" wrapText="1"/>
    </xf>
    <xf numFmtId="0" fontId="13" fillId="8" borderId="9" xfId="0" applyFont="1" applyFill="1" applyBorder="1" applyAlignment="1">
      <alignment horizontal="left" vertical="center"/>
    </xf>
    <xf numFmtId="0" fontId="13" fillId="0" borderId="9" xfId="0" applyFont="1" applyBorder="1" applyAlignment="1">
      <alignment horizontal="center" vertical="center" wrapText="1"/>
    </xf>
    <xf numFmtId="2" fontId="13" fillId="0" borderId="9" xfId="0" applyNumberFormat="1" applyFont="1" applyBorder="1" applyAlignment="1">
      <alignment horizontal="center" vertical="center" wrapText="1"/>
    </xf>
    <xf numFmtId="0" fontId="13" fillId="0" borderId="9" xfId="0" applyFont="1" applyBorder="1" applyAlignment="1">
      <alignment horizontal="center" vertical="center"/>
    </xf>
    <xf numFmtId="2" fontId="2" fillId="0" borderId="9" xfId="0" applyNumberFormat="1" applyFont="1" applyBorder="1" applyAlignment="1" applyProtection="1">
      <alignment horizontal="center"/>
      <protection hidden="1"/>
    </xf>
    <xf numFmtId="0" fontId="16" fillId="4" borderId="10" xfId="5" applyFont="1" applyBorder="1"/>
    <xf numFmtId="0" fontId="16" fillId="4" borderId="11" xfId="5" applyFont="1" applyBorder="1"/>
    <xf numFmtId="0" fontId="16" fillId="4" borderId="12" xfId="5" applyFont="1" applyBorder="1"/>
    <xf numFmtId="0" fontId="2" fillId="4" borderId="9" xfId="5" applyFont="1" applyBorder="1"/>
    <xf numFmtId="0" fontId="2" fillId="4" borderId="13" xfId="5" applyFont="1" applyBorder="1"/>
    <xf numFmtId="0" fontId="2" fillId="4" borderId="14" xfId="5" applyFont="1" applyBorder="1"/>
    <xf numFmtId="0" fontId="2" fillId="4" borderId="15" xfId="5" applyFont="1" applyBorder="1"/>
    <xf numFmtId="0" fontId="2" fillId="0" borderId="0" xfId="0" applyFont="1" applyBorder="1"/>
    <xf numFmtId="0" fontId="2" fillId="4" borderId="5" xfId="5" applyFont="1" applyBorder="1"/>
    <xf numFmtId="0" fontId="2" fillId="4" borderId="0" xfId="5" applyFont="1" applyBorder="1"/>
    <xf numFmtId="0" fontId="17" fillId="4" borderId="0" xfId="5" applyFont="1" applyBorder="1" applyProtection="1">
      <protection locked="0"/>
    </xf>
    <xf numFmtId="0" fontId="2" fillId="4" borderId="2" xfId="5" applyFont="1" applyBorder="1"/>
    <xf numFmtId="0" fontId="2" fillId="4" borderId="3" xfId="5" applyFont="1" applyBorder="1"/>
    <xf numFmtId="0" fontId="2" fillId="4" borderId="4" xfId="5" applyFont="1" applyBorder="1"/>
    <xf numFmtId="0" fontId="17" fillId="4" borderId="4" xfId="5" applyFont="1" applyBorder="1" applyProtection="1">
      <protection locked="0"/>
    </xf>
    <xf numFmtId="0" fontId="2" fillId="4" borderId="1" xfId="5" applyFont="1" applyBorder="1"/>
    <xf numFmtId="0" fontId="0" fillId="0" borderId="0" xfId="0" applyFont="1"/>
    <xf numFmtId="0" fontId="0" fillId="0" borderId="0" xfId="0" applyFont="1" applyAlignment="1" applyProtection="1">
      <alignment horizontal="right"/>
      <protection hidden="1"/>
    </xf>
    <xf numFmtId="0" fontId="0" fillId="0" borderId="0" xfId="0" applyFont="1" applyAlignment="1" applyProtection="1">
      <alignment horizontal="left"/>
      <protection hidden="1"/>
    </xf>
    <xf numFmtId="14" fontId="0" fillId="0" borderId="0" xfId="0" applyNumberFormat="1" applyFont="1" applyFill="1" applyAlignment="1">
      <alignment horizontal="right"/>
    </xf>
    <xf numFmtId="0" fontId="7" fillId="0" borderId="0" xfId="0" applyFont="1" applyAlignment="1" applyProtection="1">
      <alignment horizontal="center"/>
      <protection hidden="1"/>
    </xf>
    <xf numFmtId="0" fontId="0" fillId="0" borderId="4" xfId="0" applyFont="1" applyBorder="1" applyProtection="1">
      <protection hidden="1"/>
    </xf>
    <xf numFmtId="0" fontId="0" fillId="0" borderId="0" xfId="0" applyFont="1" applyBorder="1"/>
    <xf numFmtId="0" fontId="0" fillId="0" borderId="0" xfId="0" applyFont="1" applyProtection="1">
      <protection hidden="1"/>
    </xf>
    <xf numFmtId="10" fontId="0" fillId="0" borderId="0" xfId="0" applyNumberFormat="1" applyFont="1" applyProtection="1">
      <protection hidden="1"/>
    </xf>
    <xf numFmtId="0" fontId="0" fillId="0" borderId="0" xfId="0" applyFont="1" applyFill="1" applyProtection="1">
      <protection hidden="1"/>
    </xf>
    <xf numFmtId="9" fontId="0" fillId="0" borderId="0" xfId="0" applyNumberFormat="1" applyFont="1" applyFill="1" applyAlignment="1" applyProtection="1">
      <alignment horizontal="center"/>
      <protection hidden="1"/>
    </xf>
    <xf numFmtId="0" fontId="0" fillId="0" borderId="0" xfId="0" applyFont="1" applyBorder="1" applyProtection="1">
      <protection hidden="1"/>
    </xf>
    <xf numFmtId="0" fontId="0" fillId="0" borderId="4" xfId="0" applyFont="1" applyBorder="1" applyAlignment="1" applyProtection="1">
      <alignment horizontal="left"/>
      <protection hidden="1"/>
    </xf>
    <xf numFmtId="0" fontId="0" fillId="0" borderId="3" xfId="0" applyFont="1" applyBorder="1" applyAlignment="1" applyProtection="1">
      <alignment horizontal="center"/>
      <protection hidden="1"/>
    </xf>
    <xf numFmtId="0" fontId="0" fillId="0" borderId="5" xfId="0" applyFont="1" applyBorder="1" applyAlignment="1" applyProtection="1">
      <alignment horizontal="center"/>
      <protection hidden="1"/>
    </xf>
    <xf numFmtId="0" fontId="0" fillId="0" borderId="0" xfId="0" applyFont="1" applyAlignment="1" applyProtection="1">
      <alignment horizontal="center"/>
      <protection hidden="1"/>
    </xf>
    <xf numFmtId="0" fontId="0" fillId="0" borderId="0" xfId="0" applyFont="1" applyBorder="1" applyAlignment="1" applyProtection="1">
      <alignment horizontal="center"/>
      <protection hidden="1"/>
    </xf>
    <xf numFmtId="0" fontId="7" fillId="0" borderId="4" xfId="0" applyFont="1" applyBorder="1" applyProtection="1">
      <protection hidden="1"/>
    </xf>
    <xf numFmtId="0" fontId="0" fillId="0" borderId="0" xfId="0" applyFont="1" applyAlignment="1" applyProtection="1">
      <protection hidden="1"/>
    </xf>
    <xf numFmtId="0" fontId="0" fillId="0" borderId="0" xfId="0" applyAlignment="1">
      <alignment horizontal="left"/>
    </xf>
    <xf numFmtId="0" fontId="2" fillId="0" borderId="2" xfId="0" applyFont="1" applyBorder="1" applyAlignment="1" applyProtection="1">
      <alignment horizontal="center" vertical="center"/>
      <protection hidden="1"/>
    </xf>
    <xf numFmtId="2" fontId="2" fillId="0" borderId="0" xfId="0" applyNumberFormat="1" applyFont="1" applyAlignment="1" applyProtection="1">
      <alignment horizontal="center" vertical="center"/>
      <protection hidden="1"/>
    </xf>
    <xf numFmtId="10" fontId="2" fillId="0" borderId="5" xfId="1" applyNumberFormat="1" applyFont="1" applyFill="1" applyBorder="1" applyAlignment="1" applyProtection="1">
      <alignment horizontal="center" vertical="center"/>
      <protection hidden="1"/>
    </xf>
    <xf numFmtId="0" fontId="0" fillId="0" borderId="0" xfId="0" applyFont="1" applyBorder="1" applyAlignment="1" applyProtection="1">
      <alignment horizontal="left"/>
      <protection hidden="1"/>
    </xf>
    <xf numFmtId="0" fontId="0" fillId="0" borderId="9" xfId="0" applyBorder="1" applyAlignment="1">
      <alignment horizontal="center" vertical="center" wrapText="1"/>
    </xf>
    <xf numFmtId="0" fontId="15" fillId="10" borderId="9" xfId="0" applyFont="1" applyFill="1" applyBorder="1" applyAlignment="1">
      <alignment horizontal="center" vertical="center" wrapText="1"/>
    </xf>
    <xf numFmtId="2" fontId="2" fillId="10" borderId="9" xfId="0" applyNumberFormat="1" applyFont="1" applyFill="1" applyBorder="1"/>
    <xf numFmtId="0" fontId="4" fillId="0" borderId="0" xfId="0" applyFont="1" applyBorder="1" applyAlignment="1" applyProtection="1">
      <alignment horizontal="left"/>
      <protection hidden="1"/>
    </xf>
    <xf numFmtId="0" fontId="0" fillId="0" borderId="0" xfId="0" applyFill="1"/>
    <xf numFmtId="0" fontId="0" fillId="0" borderId="0" xfId="0" applyFill="1" applyAlignment="1">
      <alignment horizontal="center"/>
    </xf>
    <xf numFmtId="0" fontId="15" fillId="0" borderId="0" xfId="0" applyFont="1" applyFill="1" applyAlignment="1">
      <alignment horizontal="center"/>
    </xf>
    <xf numFmtId="0" fontId="15" fillId="0" borderId="9" xfId="0" applyFont="1" applyFill="1" applyBorder="1" applyAlignment="1" applyProtection="1">
      <alignment horizontal="center"/>
      <protection hidden="1"/>
    </xf>
    <xf numFmtId="14" fontId="15" fillId="0" borderId="9" xfId="4" applyNumberFormat="1" applyFont="1" applyFill="1" applyBorder="1" applyAlignment="1" applyProtection="1">
      <alignment horizontal="center" vertical="center"/>
      <protection locked="0"/>
    </xf>
    <xf numFmtId="0" fontId="15" fillId="0" borderId="9" xfId="4" applyFont="1" applyFill="1" applyBorder="1" applyAlignment="1" applyProtection="1">
      <alignment horizontal="center" vertical="center"/>
      <protection locked="0"/>
    </xf>
    <xf numFmtId="0" fontId="15" fillId="0" borderId="9" xfId="0" applyFont="1" applyFill="1" applyBorder="1" applyAlignment="1">
      <alignment horizontal="center"/>
    </xf>
    <xf numFmtId="165" fontId="15" fillId="0" borderId="9" xfId="1" applyNumberFormat="1" applyFont="1" applyFill="1" applyBorder="1" applyAlignment="1" applyProtection="1">
      <alignment horizontal="center" vertical="center"/>
      <protection locked="0"/>
    </xf>
    <xf numFmtId="166" fontId="15" fillId="0" borderId="9" xfId="2" applyNumberFormat="1" applyFont="1" applyFill="1" applyBorder="1" applyAlignment="1" applyProtection="1">
      <alignment horizontal="center" vertical="center"/>
      <protection locked="0"/>
    </xf>
    <xf numFmtId="0" fontId="15" fillId="10" borderId="9" xfId="0" applyFont="1" applyFill="1" applyBorder="1" applyAlignment="1">
      <alignment horizontal="center"/>
    </xf>
    <xf numFmtId="0" fontId="22" fillId="0" borderId="9" xfId="0" applyFont="1" applyFill="1" applyBorder="1" applyAlignment="1" applyProtection="1">
      <alignment horizontal="center"/>
      <protection hidden="1"/>
    </xf>
    <xf numFmtId="0" fontId="22" fillId="0" borderId="9" xfId="0" applyFont="1" applyFill="1" applyBorder="1" applyAlignment="1">
      <alignment horizontal="center" vertical="center" wrapText="1"/>
    </xf>
    <xf numFmtId="0" fontId="15" fillId="0" borderId="9" xfId="0" applyFont="1" applyFill="1" applyBorder="1" applyAlignment="1">
      <alignment horizontal="center" vertical="center"/>
    </xf>
    <xf numFmtId="0" fontId="15" fillId="10" borderId="9" xfId="0" applyFont="1" applyFill="1" applyBorder="1" applyAlignment="1" applyProtection="1">
      <alignment horizontal="center"/>
      <protection hidden="1"/>
    </xf>
    <xf numFmtId="0" fontId="15" fillId="10" borderId="9" xfId="4" applyFont="1" applyFill="1" applyBorder="1" applyAlignment="1" applyProtection="1">
      <alignment horizontal="center" vertical="center"/>
      <protection locked="0"/>
    </xf>
    <xf numFmtId="0" fontId="0" fillId="0" borderId="0" xfId="0" applyFont="1" applyBorder="1" applyAlignment="1" applyProtection="1">
      <protection hidden="1"/>
    </xf>
    <xf numFmtId="0" fontId="16" fillId="0" borderId="0" xfId="5" applyFont="1" applyFill="1" applyBorder="1"/>
    <xf numFmtId="2" fontId="3" fillId="0" borderId="9" xfId="0" applyNumberFormat="1" applyFont="1" applyBorder="1" applyAlignment="1">
      <alignment horizontal="center" vertical="center"/>
    </xf>
    <xf numFmtId="0" fontId="15" fillId="10" borderId="9" xfId="0" applyFont="1" applyFill="1" applyBorder="1" applyAlignment="1">
      <alignment horizontal="center" vertical="center"/>
    </xf>
    <xf numFmtId="2" fontId="3" fillId="0" borderId="6" xfId="0" applyNumberFormat="1" applyFont="1" applyFill="1" applyBorder="1" applyAlignment="1">
      <alignment horizontal="center" vertical="center"/>
    </xf>
    <xf numFmtId="0" fontId="0" fillId="10" borderId="9" xfId="0" applyFill="1" applyBorder="1" applyAlignment="1">
      <alignment horizontal="center" vertical="center"/>
    </xf>
    <xf numFmtId="164" fontId="0" fillId="0" borderId="9" xfId="1" applyNumberFormat="1" applyFont="1" applyBorder="1" applyAlignment="1">
      <alignment horizontal="center" vertical="center"/>
    </xf>
    <xf numFmtId="0" fontId="0" fillId="0" borderId="9" xfId="0" applyBorder="1" applyAlignment="1">
      <alignment horizontal="center" vertical="center"/>
    </xf>
    <xf numFmtId="2" fontId="2" fillId="10" borderId="9" xfId="0" applyNumberFormat="1" applyFont="1" applyFill="1" applyBorder="1" applyAlignment="1">
      <alignment horizontal="center" vertical="center"/>
    </xf>
    <xf numFmtId="0" fontId="0" fillId="0" borderId="9" xfId="0" applyBorder="1" applyAlignment="1">
      <alignment horizontal="right" vertical="center" wrapText="1"/>
    </xf>
    <xf numFmtId="10" fontId="0" fillId="0" borderId="9" xfId="1" applyNumberFormat="1" applyFont="1" applyBorder="1" applyAlignment="1">
      <alignment horizontal="right" vertical="center"/>
    </xf>
    <xf numFmtId="2" fontId="0" fillId="0" borderId="9" xfId="0" applyNumberFormat="1" applyBorder="1" applyAlignment="1">
      <alignment horizontal="right" vertical="center"/>
    </xf>
    <xf numFmtId="0" fontId="0" fillId="0" borderId="9" xfId="0" applyBorder="1" applyAlignment="1">
      <alignment horizontal="right" vertical="top" wrapText="1"/>
    </xf>
    <xf numFmtId="0" fontId="5" fillId="0" borderId="0" xfId="3" applyFill="1" applyBorder="1" applyAlignment="1"/>
    <xf numFmtId="0" fontId="0" fillId="0" borderId="0" xfId="0" applyFont="1" applyAlignment="1">
      <alignment horizontal="right"/>
    </xf>
    <xf numFmtId="165" fontId="0" fillId="0" borderId="9" xfId="0" applyNumberFormat="1" applyBorder="1" applyAlignment="1">
      <alignment horizontal="right" vertical="center" wrapText="1"/>
    </xf>
    <xf numFmtId="10" fontId="2" fillId="0" borderId="0" xfId="0" applyNumberFormat="1" applyFont="1" applyBorder="1" applyAlignment="1" applyProtection="1">
      <alignment horizontal="center" vertical="center"/>
      <protection hidden="1"/>
    </xf>
    <xf numFmtId="167" fontId="0" fillId="0" borderId="9" xfId="0" applyNumberFormat="1" applyBorder="1" applyAlignment="1">
      <alignment horizontal="left" vertical="center"/>
    </xf>
    <xf numFmtId="0" fontId="2" fillId="0" borderId="4" xfId="0" applyFont="1" applyBorder="1" applyAlignment="1" applyProtection="1">
      <alignment horizontal="center" vertical="top" wrapText="1"/>
      <protection hidden="1"/>
    </xf>
    <xf numFmtId="0" fontId="0" fillId="0" borderId="0" xfId="0" applyAlignment="1">
      <alignment horizontal="left"/>
    </xf>
    <xf numFmtId="10" fontId="2" fillId="0" borderId="0" xfId="1" applyNumberFormat="1" applyFont="1" applyFill="1" applyBorder="1" applyAlignment="1" applyProtection="1">
      <alignment horizontal="center" vertical="center"/>
      <protection hidden="1"/>
    </xf>
    <xf numFmtId="10" fontId="0" fillId="0" borderId="9" xfId="0" applyNumberFormat="1" applyBorder="1" applyAlignment="1">
      <alignment horizontal="center" vertical="center"/>
    </xf>
    <xf numFmtId="9" fontId="0" fillId="0" borderId="0" xfId="0" applyNumberFormat="1" applyBorder="1"/>
    <xf numFmtId="0" fontId="24" fillId="0" borderId="0" xfId="0" applyFont="1" applyAlignment="1" applyProtection="1">
      <alignment vertical="center"/>
      <protection hidden="1"/>
    </xf>
    <xf numFmtId="0" fontId="3" fillId="0" borderId="0" xfId="0" applyFont="1" applyBorder="1" applyAlignment="1" applyProtection="1">
      <alignment horizontal="center"/>
      <protection hidden="1"/>
    </xf>
    <xf numFmtId="0" fontId="2" fillId="0" borderId="3" xfId="0" applyFont="1" applyBorder="1" applyAlignment="1" applyProtection="1">
      <alignment horizontal="center" vertical="top" wrapText="1"/>
      <protection hidden="1"/>
    </xf>
    <xf numFmtId="10" fontId="2" fillId="0" borderId="0" xfId="1" applyNumberFormat="1" applyFont="1" applyBorder="1" applyAlignment="1" applyProtection="1">
      <alignment horizontal="center"/>
      <protection hidden="1"/>
    </xf>
    <xf numFmtId="0" fontId="2" fillId="0" borderId="1" xfId="0" applyFont="1" applyBorder="1" applyAlignment="1" applyProtection="1">
      <alignment horizontal="center" vertical="top" wrapText="1"/>
      <protection hidden="1"/>
    </xf>
    <xf numFmtId="9" fontId="2" fillId="0" borderId="0" xfId="0" applyNumberFormat="1" applyFont="1" applyBorder="1" applyAlignment="1" applyProtection="1">
      <alignment horizontal="center"/>
      <protection hidden="1"/>
    </xf>
    <xf numFmtId="2" fontId="2" fillId="0" borderId="0" xfId="0" applyNumberFormat="1" applyFont="1" applyBorder="1" applyAlignment="1" applyProtection="1">
      <alignment horizontal="center"/>
      <protection hidden="1"/>
    </xf>
    <xf numFmtId="2" fontId="2" fillId="0" borderId="5" xfId="0" applyNumberFormat="1" applyFont="1" applyBorder="1" applyAlignment="1" applyProtection="1">
      <alignment horizontal="center"/>
      <protection hidden="1"/>
    </xf>
    <xf numFmtId="0" fontId="2" fillId="0" borderId="5" xfId="0" applyFont="1" applyBorder="1" applyAlignment="1" applyProtection="1">
      <alignment horizontal="center"/>
      <protection hidden="1"/>
    </xf>
    <xf numFmtId="0" fontId="0" fillId="0" borderId="5" xfId="0" applyBorder="1"/>
    <xf numFmtId="0" fontId="4" fillId="0" borderId="0" xfId="0" applyFont="1" applyBorder="1" applyAlignment="1" applyProtection="1">
      <alignment vertical="center" wrapText="1"/>
      <protection hidden="1"/>
    </xf>
    <xf numFmtId="0" fontId="0" fillId="0" borderId="19" xfId="0" applyBorder="1"/>
    <xf numFmtId="0" fontId="0" fillId="0" borderId="20" xfId="0" applyBorder="1"/>
    <xf numFmtId="9" fontId="0" fillId="0" borderId="0" xfId="1" applyFont="1" applyBorder="1"/>
    <xf numFmtId="9" fontId="0" fillId="0" borderId="20" xfId="0" applyNumberFormat="1" applyBorder="1"/>
    <xf numFmtId="10" fontId="0" fillId="0" borderId="0" xfId="1" applyNumberFormat="1" applyFont="1" applyBorder="1"/>
    <xf numFmtId="0" fontId="0" fillId="0" borderId="21" xfId="0" applyBorder="1"/>
    <xf numFmtId="10" fontId="0" fillId="0" borderId="22" xfId="1" applyNumberFormat="1" applyFont="1" applyBorder="1"/>
    <xf numFmtId="9" fontId="0" fillId="0" borderId="22" xfId="1" applyFont="1" applyBorder="1"/>
    <xf numFmtId="9" fontId="0" fillId="0" borderId="22" xfId="0" applyNumberFormat="1" applyBorder="1"/>
    <xf numFmtId="9" fontId="0" fillId="0" borderId="23" xfId="0" applyNumberFormat="1" applyBorder="1"/>
    <xf numFmtId="0" fontId="5" fillId="0" borderId="0" xfId="3" applyFill="1" applyBorder="1" applyAlignment="1">
      <alignment horizontal="center"/>
    </xf>
    <xf numFmtId="0" fontId="2" fillId="0" borderId="0" xfId="5" applyFont="1" applyFill="1" applyBorder="1"/>
    <xf numFmtId="0" fontId="0" fillId="0" borderId="0" xfId="0" applyFont="1" applyFill="1" applyBorder="1" applyAlignment="1" applyProtection="1">
      <alignment horizontal="center"/>
      <protection hidden="1"/>
    </xf>
    <xf numFmtId="0" fontId="15" fillId="0" borderId="9" xfId="6" applyFont="1" applyFill="1" applyBorder="1" applyAlignment="1">
      <alignment horizontal="center" vertical="center"/>
    </xf>
    <xf numFmtId="2" fontId="2" fillId="0" borderId="9" xfId="0" applyNumberFormat="1" applyFont="1" applyFill="1" applyBorder="1" applyAlignment="1" applyProtection="1">
      <alignment horizontal="center"/>
      <protection hidden="1"/>
    </xf>
    <xf numFmtId="0" fontId="14" fillId="0" borderId="0" xfId="5" applyFont="1" applyFill="1" applyBorder="1" applyAlignment="1">
      <alignment horizontal="left" vertical="center"/>
    </xf>
    <xf numFmtId="0" fontId="11" fillId="0" borderId="0" xfId="5" applyFont="1" applyFill="1" applyBorder="1" applyAlignment="1">
      <alignment vertical="center"/>
    </xf>
    <xf numFmtId="2" fontId="3" fillId="0" borderId="9" xfId="0" applyNumberFormat="1" applyFont="1" applyFill="1" applyBorder="1" applyAlignment="1">
      <alignment horizontal="center" vertical="center"/>
    </xf>
    <xf numFmtId="0" fontId="15" fillId="0" borderId="0" xfId="0" applyFont="1" applyFill="1" applyBorder="1"/>
    <xf numFmtId="0" fontId="2" fillId="0" borderId="2" xfId="0" applyFont="1" applyFill="1" applyBorder="1" applyAlignment="1" applyProtection="1">
      <alignment horizontal="center" vertical="center"/>
      <protection hidden="1"/>
    </xf>
    <xf numFmtId="0" fontId="22" fillId="12" borderId="9" xfId="6" applyFont="1" applyFill="1" applyBorder="1" applyAlignment="1">
      <alignment horizontal="center" vertical="center"/>
    </xf>
    <xf numFmtId="0" fontId="2" fillId="0" borderId="0" xfId="0" applyFont="1" applyBorder="1" applyAlignment="1" applyProtection="1">
      <alignment horizontal="center"/>
      <protection hidden="1"/>
    </xf>
    <xf numFmtId="0" fontId="22" fillId="12" borderId="9" xfId="6" applyFont="1" applyFill="1" applyBorder="1" applyAlignment="1">
      <alignment horizontal="center" vertical="center"/>
    </xf>
    <xf numFmtId="0" fontId="0" fillId="0" borderId="0" xfId="0" applyFont="1" applyBorder="1" applyAlignment="1" applyProtection="1">
      <alignment horizontal="left"/>
      <protection hidden="1"/>
    </xf>
    <xf numFmtId="0" fontId="0" fillId="0" borderId="0" xfId="0" applyFont="1" applyAlignment="1" applyProtection="1">
      <alignment horizontal="left"/>
      <protection hidden="1"/>
    </xf>
    <xf numFmtId="0" fontId="0" fillId="0" borderId="5" xfId="0" applyFont="1" applyBorder="1" applyAlignment="1" applyProtection="1">
      <alignment horizontal="center"/>
      <protection hidden="1"/>
    </xf>
    <xf numFmtId="0" fontId="2" fillId="0" borderId="5" xfId="0" applyFont="1" applyBorder="1" applyAlignment="1" applyProtection="1">
      <alignment horizontal="center"/>
      <protection hidden="1"/>
    </xf>
    <xf numFmtId="0" fontId="0" fillId="0" borderId="0" xfId="0" applyFont="1" applyBorder="1" applyAlignment="1" applyProtection="1">
      <alignment horizontal="center"/>
      <protection hidden="1"/>
    </xf>
    <xf numFmtId="0" fontId="2" fillId="0" borderId="0" xfId="0" applyFont="1" applyFill="1" applyProtection="1">
      <protection hidden="1"/>
    </xf>
    <xf numFmtId="0" fontId="4" fillId="0" borderId="0" xfId="0" applyFont="1" applyFill="1" applyBorder="1" applyAlignment="1" applyProtection="1">
      <alignment horizontal="left"/>
      <protection hidden="1"/>
    </xf>
    <xf numFmtId="0" fontId="7" fillId="0" borderId="0" xfId="0" applyFont="1" applyFill="1" applyBorder="1" applyAlignment="1">
      <alignment horizontal="center"/>
    </xf>
    <xf numFmtId="0" fontId="15" fillId="0" borderId="0" xfId="0" applyFont="1" applyFill="1" applyBorder="1" applyAlignment="1">
      <alignment horizontal="center" vertical="center"/>
    </xf>
    <xf numFmtId="0" fontId="0" fillId="0" borderId="0" xfId="0" applyFill="1" applyBorder="1" applyAlignment="1">
      <alignment horizontal="center" vertical="center"/>
    </xf>
    <xf numFmtId="2" fontId="0" fillId="0" borderId="0" xfId="0" applyNumberFormat="1" applyFill="1" applyBorder="1" applyAlignment="1">
      <alignment horizontal="right" vertical="center"/>
    </xf>
    <xf numFmtId="0" fontId="0" fillId="0" borderId="9" xfId="0" applyBorder="1" applyAlignment="1">
      <alignment horizontal="center"/>
    </xf>
    <xf numFmtId="0" fontId="20" fillId="0" borderId="9" xfId="0" applyFont="1" applyBorder="1" applyAlignment="1">
      <alignment horizontal="center" vertical="center" wrapText="1"/>
    </xf>
    <xf numFmtId="0" fontId="0" fillId="0" borderId="0" xfId="0" applyFont="1" applyBorder="1" applyAlignment="1" applyProtection="1">
      <alignment horizontal="center"/>
      <protection hidden="1"/>
    </xf>
    <xf numFmtId="14" fontId="2" fillId="0" borderId="5" xfId="0" applyNumberFormat="1" applyFont="1" applyBorder="1" applyAlignment="1" applyProtection="1">
      <alignment horizontal="center"/>
      <protection hidden="1"/>
    </xf>
    <xf numFmtId="14" fontId="2" fillId="0" borderId="0" xfId="0" applyNumberFormat="1" applyFont="1" applyBorder="1" applyAlignment="1" applyProtection="1">
      <alignment horizontal="center"/>
      <protection hidden="1"/>
    </xf>
    <xf numFmtId="0" fontId="15" fillId="0" borderId="6" xfId="0" applyFont="1" applyFill="1" applyBorder="1" applyAlignment="1" applyProtection="1">
      <alignment horizontal="center"/>
      <protection hidden="1"/>
    </xf>
    <xf numFmtId="164" fontId="15" fillId="0" borderId="9" xfId="0" applyNumberFormat="1" applyFont="1" applyFill="1" applyBorder="1" applyAlignment="1" applyProtection="1">
      <alignment horizontal="center"/>
      <protection hidden="1"/>
    </xf>
    <xf numFmtId="164" fontId="15" fillId="0" borderId="9" xfId="1" applyNumberFormat="1" applyFont="1" applyFill="1" applyBorder="1" applyAlignment="1" applyProtection="1">
      <alignment horizontal="center"/>
      <protection hidden="1"/>
    </xf>
    <xf numFmtId="10" fontId="2" fillId="0" borderId="9" xfId="1" applyNumberFormat="1" applyFont="1" applyFill="1" applyBorder="1" applyAlignment="1" applyProtection="1">
      <alignment horizontal="center" vertical="center"/>
      <protection hidden="1"/>
    </xf>
    <xf numFmtId="0" fontId="0" fillId="0" borderId="0" xfId="0" applyFont="1" applyBorder="1" applyAlignment="1" applyProtection="1">
      <alignment horizontal="center"/>
      <protection hidden="1"/>
    </xf>
    <xf numFmtId="0" fontId="0" fillId="0" borderId="9" xfId="0" applyBorder="1" applyAlignment="1">
      <alignment horizontal="center"/>
    </xf>
    <xf numFmtId="0" fontId="20" fillId="0" borderId="9" xfId="0" applyFont="1" applyBorder="1" applyAlignment="1">
      <alignment horizontal="center" vertical="center" wrapText="1"/>
    </xf>
    <xf numFmtId="9" fontId="2" fillId="0" borderId="0" xfId="0" applyNumberFormat="1" applyFont="1" applyAlignment="1" applyProtection="1">
      <alignment horizontal="center"/>
      <protection hidden="1"/>
    </xf>
    <xf numFmtId="0" fontId="0" fillId="0" borderId="0" xfId="0" applyFont="1" applyAlignment="1" applyProtection="1">
      <alignment horizontal="left"/>
      <protection hidden="1"/>
    </xf>
    <xf numFmtId="0" fontId="7" fillId="0" borderId="9" xfId="0" applyFont="1" applyBorder="1" applyAlignment="1">
      <alignment horizontal="center"/>
    </xf>
    <xf numFmtId="0" fontId="4" fillId="14" borderId="9" xfId="0" applyFont="1" applyFill="1" applyBorder="1" applyAlignment="1">
      <alignment horizontal="center" vertical="center" wrapText="1"/>
    </xf>
    <xf numFmtId="0" fontId="4" fillId="13" borderId="9" xfId="0" applyFont="1" applyFill="1" applyBorder="1" applyAlignment="1">
      <alignment horizontal="center" vertical="center" wrapText="1"/>
    </xf>
    <xf numFmtId="0" fontId="4" fillId="11" borderId="9" xfId="0" applyFont="1" applyFill="1" applyBorder="1" applyAlignment="1">
      <alignment horizontal="center" vertical="center" wrapText="1"/>
    </xf>
    <xf numFmtId="0" fontId="26" fillId="13" borderId="9" xfId="0" applyFont="1" applyFill="1" applyBorder="1" applyAlignment="1">
      <alignment horizontal="center" vertical="center" wrapText="1"/>
    </xf>
    <xf numFmtId="2" fontId="27" fillId="0" borderId="9" xfId="0" applyNumberFormat="1" applyFont="1" applyBorder="1" applyAlignment="1">
      <alignment horizontal="center" vertical="center"/>
    </xf>
    <xf numFmtId="2" fontId="28" fillId="15" borderId="7" xfId="7" applyNumberFormat="1" applyAlignment="1" applyProtection="1">
      <alignment horizontal="center"/>
      <protection hidden="1"/>
    </xf>
    <xf numFmtId="0" fontId="0" fillId="0" borderId="0" xfId="0" applyBorder="1" applyAlignment="1">
      <alignment horizontal="center"/>
    </xf>
    <xf numFmtId="0" fontId="7" fillId="0" borderId="9" xfId="0" applyFont="1" applyFill="1" applyBorder="1" applyAlignment="1">
      <alignment horizontal="center"/>
    </xf>
    <xf numFmtId="0" fontId="4" fillId="11" borderId="25" xfId="0" applyFont="1" applyFill="1" applyBorder="1" applyAlignment="1">
      <alignment horizontal="center" vertical="center" wrapText="1"/>
    </xf>
    <xf numFmtId="0" fontId="0" fillId="10" borderId="9" xfId="0" applyFill="1" applyBorder="1" applyAlignment="1">
      <alignment horizontal="center" vertical="center" wrapText="1"/>
    </xf>
    <xf numFmtId="164" fontId="0" fillId="10" borderId="9" xfId="1" applyNumberFormat="1" applyFont="1" applyFill="1" applyBorder="1" applyAlignment="1">
      <alignment horizontal="center" vertical="center"/>
    </xf>
    <xf numFmtId="0" fontId="20" fillId="0" borderId="24" xfId="0" applyFont="1" applyBorder="1" applyAlignment="1">
      <alignment horizontal="center" vertical="center" wrapText="1"/>
    </xf>
    <xf numFmtId="0" fontId="20" fillId="0" borderId="6" xfId="0" applyFont="1" applyBorder="1" applyAlignment="1">
      <alignment horizontal="center" vertical="center" wrapText="1"/>
    </xf>
    <xf numFmtId="0" fontId="0" fillId="0" borderId="9" xfId="0" applyFill="1" applyBorder="1" applyAlignment="1">
      <alignment horizontal="center" vertical="center" wrapText="1"/>
    </xf>
    <xf numFmtId="2" fontId="2" fillId="0" borderId="13" xfId="0" applyNumberFormat="1" applyFont="1" applyBorder="1" applyAlignment="1" applyProtection="1">
      <alignment horizontal="center" vertical="center"/>
      <protection hidden="1"/>
    </xf>
    <xf numFmtId="2" fontId="2" fillId="0" borderId="5" xfId="0" applyNumberFormat="1" applyFont="1" applyBorder="1" applyAlignment="1" applyProtection="1">
      <alignment horizontal="center" vertical="center"/>
      <protection hidden="1"/>
    </xf>
    <xf numFmtId="2" fontId="0" fillId="0" borderId="9" xfId="0" applyNumberFormat="1" applyFill="1" applyBorder="1" applyAlignment="1">
      <alignment horizontal="right" vertical="center"/>
    </xf>
    <xf numFmtId="9" fontId="0" fillId="0" borderId="9" xfId="1" applyFont="1" applyFill="1" applyBorder="1" applyAlignment="1">
      <alignment horizontal="right" vertical="center"/>
    </xf>
    <xf numFmtId="10" fontId="0" fillId="0" borderId="9" xfId="1" applyNumberFormat="1" applyFont="1" applyFill="1" applyBorder="1" applyAlignment="1">
      <alignment horizontal="right" vertical="center"/>
    </xf>
    <xf numFmtId="0" fontId="0" fillId="0" borderId="0" xfId="0" applyFont="1" applyFill="1" applyAlignment="1">
      <alignment horizontal="right"/>
    </xf>
    <xf numFmtId="0" fontId="2" fillId="0" borderId="4" xfId="0" applyFont="1" applyFill="1" applyBorder="1" applyAlignment="1" applyProtection="1">
      <alignment horizontal="center" vertical="top" wrapText="1"/>
      <protection hidden="1"/>
    </xf>
    <xf numFmtId="0" fontId="0" fillId="0" borderId="9" xfId="0" applyBorder="1" applyAlignment="1">
      <alignment horizontal="center"/>
    </xf>
    <xf numFmtId="0" fontId="22" fillId="12" borderId="9" xfId="6" applyFont="1" applyFill="1" applyBorder="1" applyAlignment="1">
      <alignment horizontal="center" vertical="center"/>
    </xf>
    <xf numFmtId="0" fontId="7" fillId="12" borderId="9" xfId="0" applyFont="1" applyFill="1" applyBorder="1" applyAlignment="1">
      <alignment horizontal="center"/>
    </xf>
    <xf numFmtId="10" fontId="2" fillId="0" borderId="5" xfId="0" applyNumberFormat="1" applyFont="1" applyBorder="1" applyAlignment="1" applyProtection="1">
      <alignment horizontal="center"/>
      <protection hidden="1"/>
    </xf>
    <xf numFmtId="0" fontId="0" fillId="0" borderId="9" xfId="0" applyFill="1" applyBorder="1" applyAlignment="1">
      <alignment horizontal="center" vertical="center"/>
    </xf>
    <xf numFmtId="0" fontId="0" fillId="12" borderId="9" xfId="0" applyFill="1" applyBorder="1" applyAlignment="1">
      <alignment horizontal="center" vertical="center"/>
    </xf>
    <xf numFmtId="2" fontId="20" fillId="0" borderId="9" xfId="0" applyNumberFormat="1" applyFont="1" applyBorder="1" applyAlignment="1">
      <alignment horizontal="center" vertical="center"/>
    </xf>
    <xf numFmtId="0" fontId="0" fillId="12" borderId="9" xfId="0" applyFill="1" applyBorder="1"/>
    <xf numFmtId="168" fontId="2" fillId="0" borderId="0" xfId="0" applyNumberFormat="1" applyFont="1" applyBorder="1" applyAlignment="1" applyProtection="1">
      <protection hidden="1"/>
    </xf>
    <xf numFmtId="10" fontId="2" fillId="0" borderId="0" xfId="0" applyNumberFormat="1" applyFont="1" applyBorder="1" applyAlignment="1" applyProtection="1">
      <protection hidden="1"/>
    </xf>
    <xf numFmtId="10" fontId="2" fillId="0" borderId="0" xfId="0" applyNumberFormat="1" applyFont="1" applyBorder="1" applyAlignment="1" applyProtection="1">
      <alignment horizontal="center"/>
      <protection hidden="1"/>
    </xf>
    <xf numFmtId="0" fontId="1" fillId="0" borderId="0" xfId="8" applyFill="1" applyBorder="1" applyAlignment="1">
      <alignment horizontal="center"/>
    </xf>
    <xf numFmtId="2" fontId="2" fillId="0" borderId="12" xfId="0" applyNumberFormat="1" applyFont="1" applyBorder="1" applyAlignment="1" applyProtection="1">
      <alignment horizontal="center"/>
      <protection hidden="1"/>
    </xf>
    <xf numFmtId="0" fontId="30" fillId="12" borderId="12" xfId="6" applyFont="1" applyFill="1" applyBorder="1" applyAlignment="1">
      <alignment horizontal="center" vertical="center"/>
    </xf>
    <xf numFmtId="0" fontId="3" fillId="0" borderId="0" xfId="0" applyFont="1"/>
    <xf numFmtId="0" fontId="1" fillId="16" borderId="8" xfId="8" applyBorder="1"/>
    <xf numFmtId="167" fontId="0" fillId="0" borderId="9" xfId="0" applyNumberFormat="1" applyBorder="1" applyAlignment="1">
      <alignment horizontal="center" vertical="center"/>
    </xf>
    <xf numFmtId="0" fontId="0" fillId="0" borderId="9" xfId="0" applyBorder="1" applyAlignment="1">
      <alignment horizontal="center"/>
    </xf>
    <xf numFmtId="0" fontId="22" fillId="12" borderId="9" xfId="6" applyFont="1" applyFill="1" applyBorder="1" applyAlignment="1">
      <alignment horizontal="center" vertical="center"/>
    </xf>
    <xf numFmtId="0" fontId="7" fillId="12" borderId="9" xfId="0" applyFont="1" applyFill="1" applyBorder="1" applyAlignment="1">
      <alignment horizontal="center"/>
    </xf>
    <xf numFmtId="0" fontId="2" fillId="0" borderId="4" xfId="0" applyFont="1" applyBorder="1" applyAlignment="1" applyProtection="1">
      <alignment horizontal="center" vertical="top" wrapText="1"/>
      <protection hidden="1"/>
    </xf>
    <xf numFmtId="9" fontId="2" fillId="0" borderId="0" xfId="0" applyNumberFormat="1" applyFont="1" applyAlignment="1" applyProtection="1">
      <alignment horizontal="center"/>
      <protection hidden="1"/>
    </xf>
    <xf numFmtId="168" fontId="0" fillId="0" borderId="9" xfId="0" applyNumberFormat="1" applyBorder="1"/>
    <xf numFmtId="10" fontId="0" fillId="0" borderId="9" xfId="1" applyNumberFormat="1" applyFont="1" applyBorder="1"/>
    <xf numFmtId="10" fontId="0" fillId="0" borderId="0" xfId="0" applyNumberFormat="1" applyBorder="1"/>
    <xf numFmtId="0" fontId="2" fillId="0" borderId="0" xfId="0" applyFont="1" applyAlignment="1" applyProtection="1">
      <alignment horizontal="center" vertical="center"/>
      <protection hidden="1"/>
    </xf>
    <xf numFmtId="10" fontId="2" fillId="0" borderId="5" xfId="0" applyNumberFormat="1" applyFont="1" applyBorder="1" applyAlignment="1">
      <alignment horizontal="center" vertical="center"/>
    </xf>
    <xf numFmtId="10" fontId="2" fillId="0" borderId="2" xfId="1" applyNumberFormat="1" applyFont="1" applyBorder="1" applyAlignment="1" applyProtection="1">
      <alignment horizontal="center" vertical="center"/>
      <protection hidden="1"/>
    </xf>
    <xf numFmtId="10" fontId="2" fillId="0" borderId="5" xfId="0" applyNumberFormat="1" applyFont="1" applyFill="1" applyBorder="1" applyAlignment="1" applyProtection="1">
      <alignment horizontal="center" vertical="center"/>
      <protection hidden="1"/>
    </xf>
    <xf numFmtId="10" fontId="2" fillId="0" borderId="2" xfId="1" applyNumberFormat="1" applyFont="1" applyFill="1" applyBorder="1" applyAlignment="1" applyProtection="1">
      <alignment horizontal="center" vertical="center"/>
      <protection hidden="1"/>
    </xf>
    <xf numFmtId="2" fontId="2" fillId="0" borderId="0" xfId="0" applyNumberFormat="1" applyFont="1" applyAlignment="1" applyProtection="1">
      <alignment horizontal="right" vertical="center"/>
      <protection hidden="1"/>
    </xf>
    <xf numFmtId="10" fontId="2" fillId="0" borderId="0" xfId="0" applyNumberFormat="1" applyFont="1" applyBorder="1" applyAlignment="1">
      <alignment horizontal="center" vertical="center"/>
    </xf>
    <xf numFmtId="10" fontId="2" fillId="0" borderId="0" xfId="1" applyNumberFormat="1" applyFont="1" applyBorder="1" applyAlignment="1" applyProtection="1">
      <alignment horizontal="center" vertical="center"/>
      <protection hidden="1"/>
    </xf>
    <xf numFmtId="10" fontId="2" fillId="0" borderId="0" xfId="0" applyNumberFormat="1" applyFont="1" applyFill="1" applyBorder="1" applyAlignment="1" applyProtection="1">
      <alignment horizontal="center" vertical="center"/>
      <protection hidden="1"/>
    </xf>
    <xf numFmtId="0" fontId="0" fillId="0" borderId="4" xfId="0" applyBorder="1"/>
    <xf numFmtId="0" fontId="2" fillId="0" borderId="4" xfId="0" applyFont="1" applyBorder="1" applyProtection="1">
      <protection hidden="1"/>
    </xf>
    <xf numFmtId="0" fontId="0" fillId="0" borderId="3" xfId="0" applyBorder="1"/>
    <xf numFmtId="0" fontId="12" fillId="0" borderId="9" xfId="0" applyFont="1" applyFill="1" applyBorder="1" applyAlignment="1">
      <alignment horizontal="center" vertical="center" wrapText="1"/>
    </xf>
    <xf numFmtId="1" fontId="2" fillId="0" borderId="0" xfId="0" applyNumberFormat="1" applyFont="1" applyAlignment="1" applyProtection="1">
      <alignment horizontal="center" vertical="center"/>
      <protection hidden="1"/>
    </xf>
    <xf numFmtId="168" fontId="0" fillId="0" borderId="9" xfId="0" applyNumberFormat="1" applyBorder="1" applyAlignment="1">
      <alignment horizontal="center"/>
    </xf>
    <xf numFmtId="168" fontId="0" fillId="0" borderId="0" xfId="0" applyNumberFormat="1" applyAlignment="1">
      <alignment horizontal="center"/>
    </xf>
    <xf numFmtId="2" fontId="2" fillId="0" borderId="5" xfId="0" applyNumberFormat="1" applyFont="1" applyFill="1" applyBorder="1" applyAlignment="1" applyProtection="1">
      <alignment horizontal="center"/>
      <protection hidden="1"/>
    </xf>
    <xf numFmtId="10" fontId="2" fillId="0" borderId="0" xfId="1" applyNumberFormat="1" applyFont="1" applyFill="1" applyBorder="1" applyAlignment="1" applyProtection="1">
      <alignment horizontal="center"/>
      <protection hidden="1"/>
    </xf>
    <xf numFmtId="2" fontId="2" fillId="0" borderId="0" xfId="0" applyNumberFormat="1" applyFont="1" applyFill="1" applyBorder="1" applyAlignment="1" applyProtection="1">
      <alignment horizontal="center"/>
      <protection hidden="1"/>
    </xf>
    <xf numFmtId="2" fontId="2" fillId="0" borderId="0" xfId="0" applyNumberFormat="1" applyFont="1" applyFill="1" applyAlignment="1" applyProtection="1">
      <alignment horizontal="center"/>
      <protection hidden="1"/>
    </xf>
    <xf numFmtId="0" fontId="8" fillId="17" borderId="26" xfId="9" applyBorder="1" applyAlignment="1"/>
    <xf numFmtId="0" fontId="8" fillId="17" borderId="27" xfId="9" applyBorder="1" applyAlignment="1"/>
    <xf numFmtId="0" fontId="0" fillId="16" borderId="26" xfId="8" quotePrefix="1" applyFont="1" applyBorder="1" applyAlignment="1">
      <alignment horizontal="center"/>
    </xf>
    <xf numFmtId="0" fontId="1" fillId="16" borderId="27" xfId="8" quotePrefix="1" applyBorder="1" applyAlignment="1">
      <alignment horizontal="center"/>
    </xf>
    <xf numFmtId="0" fontId="1" fillId="16" borderId="26" xfId="8" quotePrefix="1" applyBorder="1" applyAlignment="1">
      <alignment horizontal="center"/>
    </xf>
    <xf numFmtId="168" fontId="1" fillId="16" borderId="27" xfId="8" quotePrefix="1" applyNumberFormat="1" applyBorder="1" applyAlignment="1">
      <alignment horizontal="center"/>
    </xf>
    <xf numFmtId="43" fontId="0" fillId="0" borderId="0" xfId="2" applyFont="1"/>
    <xf numFmtId="0" fontId="0" fillId="0" borderId="25" xfId="0" applyBorder="1"/>
    <xf numFmtId="2" fontId="0" fillId="0" borderId="0" xfId="0" applyNumberFormat="1"/>
    <xf numFmtId="0" fontId="31" fillId="18" borderId="22" xfId="0" applyFont="1" applyFill="1" applyBorder="1"/>
    <xf numFmtId="0" fontId="5" fillId="4" borderId="22" xfId="5" applyFont="1" applyBorder="1" applyAlignment="1">
      <alignment horizontal="center"/>
    </xf>
    <xf numFmtId="0" fontId="5" fillId="2" borderId="22" xfId="3" applyBorder="1" applyAlignment="1">
      <alignment horizontal="center"/>
    </xf>
    <xf numFmtId="0" fontId="5" fillId="0" borderId="22" xfId="3" applyFill="1" applyBorder="1" applyAlignment="1">
      <alignment horizontal="center"/>
    </xf>
    <xf numFmtId="0" fontId="5" fillId="0" borderId="22" xfId="3" applyFill="1" applyBorder="1" applyAlignment="1"/>
    <xf numFmtId="0" fontId="0" fillId="0" borderId="22" xfId="0" applyBorder="1"/>
    <xf numFmtId="0" fontId="0" fillId="0" borderId="22" xfId="0" applyFill="1" applyBorder="1"/>
    <xf numFmtId="0" fontId="31" fillId="18" borderId="28" xfId="0" applyFont="1" applyFill="1" applyBorder="1"/>
    <xf numFmtId="0" fontId="33" fillId="3" borderId="29" xfId="4" applyFont="1" applyBorder="1"/>
    <xf numFmtId="0" fontId="33" fillId="3" borderId="30" xfId="4" applyFont="1" applyBorder="1"/>
    <xf numFmtId="0" fontId="32" fillId="18" borderId="28" xfId="0" applyFont="1" applyFill="1" applyBorder="1" applyProtection="1">
      <protection hidden="1"/>
    </xf>
    <xf numFmtId="0" fontId="31" fillId="18" borderId="0" xfId="0" applyFont="1" applyFill="1" applyBorder="1"/>
    <xf numFmtId="0" fontId="5" fillId="4" borderId="17" xfId="5" applyFont="1" applyBorder="1" applyAlignment="1">
      <alignment horizontal="center"/>
    </xf>
    <xf numFmtId="0" fontId="5" fillId="4" borderId="18" xfId="5" applyFont="1" applyBorder="1" applyAlignment="1">
      <alignment horizontal="center"/>
    </xf>
    <xf numFmtId="0" fontId="5" fillId="4" borderId="23" xfId="5" applyFont="1" applyBorder="1" applyAlignment="1">
      <alignment horizontal="center"/>
    </xf>
    <xf numFmtId="0" fontId="5" fillId="2" borderId="21" xfId="3" applyBorder="1" applyAlignment="1">
      <alignment horizontal="center"/>
    </xf>
    <xf numFmtId="0" fontId="5" fillId="2" borderId="23" xfId="3" applyBorder="1" applyAlignment="1">
      <alignment horizontal="center"/>
    </xf>
    <xf numFmtId="0" fontId="33" fillId="3" borderId="7" xfId="4" applyFont="1" applyBorder="1"/>
    <xf numFmtId="0" fontId="2" fillId="0" borderId="5" xfId="0" applyFont="1" applyFill="1" applyBorder="1" applyAlignment="1" applyProtection="1">
      <alignment horizontal="center"/>
      <protection hidden="1"/>
    </xf>
    <xf numFmtId="2" fontId="2" fillId="0" borderId="13" xfId="0" applyNumberFormat="1" applyFont="1" applyBorder="1" applyProtection="1">
      <protection hidden="1"/>
    </xf>
    <xf numFmtId="2" fontId="2" fillId="0" borderId="0" xfId="0" applyNumberFormat="1" applyFont="1" applyProtection="1">
      <protection hidden="1"/>
    </xf>
    <xf numFmtId="2" fontId="2" fillId="0" borderId="5" xfId="0" applyNumberFormat="1" applyFont="1" applyBorder="1" applyProtection="1">
      <protection hidden="1"/>
    </xf>
    <xf numFmtId="2" fontId="2" fillId="0" borderId="0" xfId="0" applyNumberFormat="1" applyFont="1" applyBorder="1" applyProtection="1">
      <protection hidden="1"/>
    </xf>
    <xf numFmtId="0" fontId="0" fillId="0" borderId="9" xfId="0" applyBorder="1" applyAlignment="1">
      <alignment horizontal="center" wrapText="1"/>
    </xf>
    <xf numFmtId="0" fontId="0" fillId="0" borderId="24" xfId="0" applyBorder="1" applyAlignment="1">
      <alignment horizontal="center" vertical="center" wrapText="1"/>
    </xf>
    <xf numFmtId="0" fontId="0" fillId="0" borderId="6" xfId="0" applyBorder="1" applyAlignment="1">
      <alignment horizontal="center" vertical="center" wrapText="1"/>
    </xf>
    <xf numFmtId="0" fontId="2" fillId="0" borderId="3" xfId="0" applyFont="1" applyBorder="1" applyAlignment="1" applyProtection="1">
      <alignment horizontal="center"/>
      <protection hidden="1"/>
    </xf>
    <xf numFmtId="0" fontId="2" fillId="0" borderId="4" xfId="0" applyFont="1" applyBorder="1" applyAlignment="1" applyProtection="1">
      <alignment horizontal="center"/>
      <protection hidden="1"/>
    </xf>
    <xf numFmtId="0" fontId="2" fillId="0" borderId="1" xfId="0" applyFont="1" applyBorder="1" applyAlignment="1" applyProtection="1">
      <alignment horizontal="center"/>
      <protection hidden="1"/>
    </xf>
    <xf numFmtId="0" fontId="29" fillId="0" borderId="0" xfId="0" applyFont="1" applyBorder="1" applyAlignment="1">
      <alignment horizontal="center" vertical="center" wrapText="1"/>
    </xf>
    <xf numFmtId="0" fontId="29" fillId="0" borderId="4" xfId="0" applyFont="1" applyBorder="1" applyAlignment="1">
      <alignment horizontal="center" vertical="center" wrapText="1"/>
    </xf>
    <xf numFmtId="0" fontId="3" fillId="0" borderId="0" xfId="0" applyFont="1" applyAlignment="1" applyProtection="1">
      <alignment horizontal="center"/>
      <protection hidden="1"/>
    </xf>
    <xf numFmtId="0" fontId="2" fillId="0" borderId="2"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9" fillId="0" borderId="5" xfId="0" applyFont="1" applyBorder="1" applyAlignment="1" applyProtection="1">
      <alignment horizontal="center" wrapText="1"/>
      <protection hidden="1"/>
    </xf>
    <xf numFmtId="0" fontId="29" fillId="0" borderId="3" xfId="0" applyFont="1" applyBorder="1" applyAlignment="1" applyProtection="1">
      <alignment horizontal="center" wrapText="1"/>
      <protection hidden="1"/>
    </xf>
    <xf numFmtId="0" fontId="29" fillId="0" borderId="0" xfId="0" applyFont="1" applyBorder="1" applyAlignment="1" applyProtection="1">
      <alignment horizontal="center" wrapText="1"/>
      <protection hidden="1"/>
    </xf>
    <xf numFmtId="0" fontId="29" fillId="0" borderId="4" xfId="0" applyFont="1" applyBorder="1" applyAlignment="1" applyProtection="1">
      <alignment horizontal="center" wrapText="1"/>
      <protection hidden="1"/>
    </xf>
    <xf numFmtId="0" fontId="2" fillId="0" borderId="0"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22" fillId="12" borderId="12" xfId="6" applyFont="1" applyFill="1" applyBorder="1" applyAlignment="1">
      <alignment horizontal="center" vertical="center"/>
    </xf>
    <xf numFmtId="0" fontId="22" fillId="12" borderId="9" xfId="6" applyFont="1" applyFill="1" applyBorder="1" applyAlignment="1">
      <alignment horizontal="center" vertical="center"/>
    </xf>
    <xf numFmtId="0" fontId="4" fillId="0" borderId="9" xfId="0" applyFont="1" applyBorder="1" applyAlignment="1" applyProtection="1">
      <alignment horizontal="center" vertical="center" wrapText="1"/>
      <protection hidden="1"/>
    </xf>
    <xf numFmtId="10" fontId="29" fillId="0" borderId="0" xfId="1" applyNumberFormat="1" applyFont="1" applyBorder="1" applyAlignment="1">
      <alignment horizontal="center" vertical="center" wrapText="1"/>
    </xf>
    <xf numFmtId="10" fontId="29" fillId="0" borderId="4" xfId="1" applyNumberFormat="1" applyFont="1" applyBorder="1" applyAlignment="1">
      <alignment horizontal="center" vertical="center" wrapText="1"/>
    </xf>
    <xf numFmtId="0" fontId="7" fillId="0" borderId="9" xfId="0" applyFont="1" applyBorder="1" applyAlignment="1">
      <alignment horizontal="center"/>
    </xf>
    <xf numFmtId="9" fontId="1" fillId="16" borderId="8" xfId="8" quotePrefix="1" applyNumberFormat="1" applyBorder="1" applyAlignment="1">
      <alignment horizontal="center"/>
    </xf>
    <xf numFmtId="0" fontId="1" fillId="16" borderId="8" xfId="8" quotePrefix="1" applyBorder="1" applyAlignment="1">
      <alignment horizontal="center"/>
    </xf>
    <xf numFmtId="10" fontId="0" fillId="16" borderId="8" xfId="8" quotePrefix="1" applyNumberFormat="1" applyFont="1" applyBorder="1" applyAlignment="1">
      <alignment horizontal="center"/>
    </xf>
    <xf numFmtId="0" fontId="4" fillId="11" borderId="24"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4" fillId="11" borderId="25" xfId="0" applyFont="1" applyFill="1" applyBorder="1" applyAlignment="1">
      <alignment horizontal="center" vertical="center" wrapText="1"/>
    </xf>
    <xf numFmtId="0" fontId="18" fillId="0" borderId="4" xfId="0" applyFont="1" applyBorder="1" applyAlignment="1">
      <alignment horizontal="center" vertical="top" wrapText="1"/>
    </xf>
    <xf numFmtId="0" fontId="3" fillId="0" borderId="9" xfId="0" applyFont="1" applyBorder="1" applyAlignment="1">
      <alignment horizontal="center" vertical="center" wrapText="1"/>
    </xf>
    <xf numFmtId="0" fontId="20" fillId="0" borderId="9" xfId="0" applyFont="1" applyBorder="1" applyAlignment="1">
      <alignment horizontal="center" vertical="center" wrapText="1"/>
    </xf>
    <xf numFmtId="0" fontId="7" fillId="9" borderId="5" xfId="0" applyFont="1" applyFill="1" applyBorder="1" applyAlignment="1">
      <alignment horizontal="center"/>
    </xf>
    <xf numFmtId="0" fontId="7" fillId="9" borderId="0" xfId="0" applyFont="1" applyFill="1" applyBorder="1" applyAlignment="1">
      <alignment horizontal="center"/>
    </xf>
    <xf numFmtId="0" fontId="18" fillId="0" borderId="9" xfId="0" applyFont="1" applyBorder="1" applyAlignment="1">
      <alignment horizontal="center" vertical="center" wrapText="1"/>
    </xf>
    <xf numFmtId="10" fontId="20" fillId="0" borderId="9" xfId="1" applyNumberFormat="1" applyFont="1" applyBorder="1" applyAlignment="1">
      <alignment horizontal="center" vertical="center" wrapText="1"/>
    </xf>
    <xf numFmtId="0" fontId="7" fillId="10" borderId="9" xfId="0" applyFont="1" applyFill="1" applyBorder="1" applyAlignment="1">
      <alignment horizontal="center" vertical="center"/>
    </xf>
    <xf numFmtId="0" fontId="16" fillId="4" borderId="13" xfId="5" applyFont="1" applyBorder="1" applyAlignment="1">
      <alignment horizontal="left" vertical="top" wrapText="1"/>
    </xf>
    <xf numFmtId="0" fontId="16" fillId="4" borderId="14" xfId="5" applyFont="1" applyBorder="1" applyAlignment="1">
      <alignment horizontal="left" vertical="top"/>
    </xf>
    <xf numFmtId="0" fontId="16" fillId="4" borderId="15" xfId="5" applyFont="1" applyBorder="1" applyAlignment="1">
      <alignment horizontal="left" vertical="top"/>
    </xf>
    <xf numFmtId="0" fontId="16" fillId="4" borderId="5" xfId="5" applyFont="1" applyBorder="1" applyAlignment="1">
      <alignment horizontal="left" vertical="top"/>
    </xf>
    <xf numFmtId="0" fontId="16" fillId="4" borderId="0" xfId="5" applyFont="1" applyBorder="1" applyAlignment="1">
      <alignment horizontal="left" vertical="top"/>
    </xf>
    <xf numFmtId="0" fontId="16" fillId="4" borderId="2" xfId="5" applyFont="1" applyBorder="1" applyAlignment="1">
      <alignment horizontal="left" vertical="top"/>
    </xf>
    <xf numFmtId="0" fontId="16" fillId="4" borderId="3" xfId="5" applyFont="1" applyBorder="1" applyAlignment="1">
      <alignment horizontal="left" vertical="top"/>
    </xf>
    <xf numFmtId="0" fontId="16" fillId="4" borderId="4" xfId="5" applyFont="1" applyBorder="1" applyAlignment="1">
      <alignment horizontal="left" vertical="top"/>
    </xf>
    <xf numFmtId="0" fontId="16" fillId="4" borderId="1" xfId="5" applyFont="1" applyBorder="1" applyAlignment="1">
      <alignment horizontal="left" vertical="top"/>
    </xf>
    <xf numFmtId="0" fontId="3" fillId="13" borderId="9" xfId="0" applyFont="1" applyFill="1" applyBorder="1" applyAlignment="1">
      <alignment horizontal="center" vertical="center" wrapText="1"/>
    </xf>
    <xf numFmtId="0" fontId="0" fillId="0" borderId="4" xfId="0" applyFill="1" applyBorder="1" applyAlignment="1">
      <alignment horizontal="center"/>
    </xf>
    <xf numFmtId="0" fontId="0" fillId="0" borderId="9" xfId="0" applyBorder="1" applyAlignment="1">
      <alignment horizontal="center"/>
    </xf>
    <xf numFmtId="0" fontId="0" fillId="0" borderId="5" xfId="0" applyFont="1" applyBorder="1" applyAlignment="1" applyProtection="1">
      <alignment horizontal="center"/>
      <protection hidden="1"/>
    </xf>
    <xf numFmtId="0" fontId="0" fillId="0" borderId="2" xfId="0" applyFont="1" applyBorder="1" applyAlignment="1" applyProtection="1">
      <alignment horizontal="center"/>
      <protection hidden="1"/>
    </xf>
    <xf numFmtId="0" fontId="0" fillId="0" borderId="0" xfId="0" applyFont="1" applyBorder="1" applyAlignment="1" applyProtection="1">
      <alignment horizontal="center"/>
      <protection hidden="1"/>
    </xf>
    <xf numFmtId="0" fontId="0" fillId="0" borderId="11" xfId="0" applyFill="1" applyBorder="1" applyAlignment="1">
      <alignment horizontal="center"/>
    </xf>
    <xf numFmtId="0" fontId="15" fillId="4" borderId="13" xfId="5" applyFont="1" applyBorder="1" applyAlignment="1">
      <alignment horizontal="left" vertical="top" wrapText="1"/>
    </xf>
    <xf numFmtId="0" fontId="15" fillId="4" borderId="14" xfId="5" applyFont="1" applyBorder="1" applyAlignment="1">
      <alignment horizontal="left" vertical="top" wrapText="1"/>
    </xf>
    <xf numFmtId="0" fontId="15" fillId="4" borderId="15" xfId="5" applyFont="1" applyBorder="1" applyAlignment="1">
      <alignment horizontal="left" vertical="top" wrapText="1"/>
    </xf>
    <xf numFmtId="0" fontId="15" fillId="4" borderId="5" xfId="5" applyFont="1" applyBorder="1" applyAlignment="1">
      <alignment horizontal="left" vertical="top" wrapText="1"/>
    </xf>
    <xf numFmtId="0" fontId="15" fillId="4" borderId="0" xfId="5" applyFont="1" applyBorder="1" applyAlignment="1">
      <alignment horizontal="left" vertical="top" wrapText="1"/>
    </xf>
    <xf numFmtId="0" fontId="15" fillId="4" borderId="2" xfId="5" applyFont="1" applyBorder="1" applyAlignment="1">
      <alignment horizontal="left" vertical="top" wrapText="1"/>
    </xf>
    <xf numFmtId="0" fontId="15" fillId="4" borderId="3" xfId="5" applyFont="1" applyBorder="1" applyAlignment="1">
      <alignment horizontal="left" vertical="top" wrapText="1"/>
    </xf>
    <xf numFmtId="0" fontId="15" fillId="4" borderId="4" xfId="5" applyFont="1" applyBorder="1" applyAlignment="1">
      <alignment horizontal="left" vertical="top" wrapText="1"/>
    </xf>
    <xf numFmtId="0" fontId="15" fillId="4" borderId="1" xfId="5" applyFont="1" applyBorder="1" applyAlignment="1">
      <alignment horizontal="left" vertical="top" wrapText="1"/>
    </xf>
    <xf numFmtId="0" fontId="7" fillId="0" borderId="9" xfId="0" applyFont="1" applyFill="1" applyBorder="1" applyAlignment="1">
      <alignment horizontal="center"/>
    </xf>
    <xf numFmtId="0" fontId="3" fillId="0" borderId="4" xfId="0" applyFont="1" applyBorder="1" applyAlignment="1" applyProtection="1">
      <alignment horizontal="center"/>
      <protection hidden="1"/>
    </xf>
    <xf numFmtId="0" fontId="4" fillId="0" borderId="2"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0" fillId="0" borderId="3" xfId="0" applyFont="1" applyBorder="1" applyAlignment="1" applyProtection="1">
      <alignment horizontal="center"/>
      <protection hidden="1"/>
    </xf>
    <xf numFmtId="0" fontId="0" fillId="0" borderId="1" xfId="0" applyFont="1" applyBorder="1" applyAlignment="1" applyProtection="1">
      <alignment horizontal="center"/>
      <protection hidden="1"/>
    </xf>
    <xf numFmtId="0" fontId="0" fillId="0" borderId="0" xfId="0" applyFont="1" applyAlignment="1" applyProtection="1">
      <alignment horizontal="left"/>
      <protection hidden="1"/>
    </xf>
    <xf numFmtId="0" fontId="7" fillId="0" borderId="0" xfId="0" applyFont="1" applyAlignment="1" applyProtection="1">
      <alignment horizontal="center"/>
      <protection hidden="1"/>
    </xf>
    <xf numFmtId="0" fontId="0" fillId="0" borderId="0" xfId="0" applyFont="1" applyBorder="1" applyAlignment="1" applyProtection="1">
      <alignment horizontal="left"/>
      <protection hidden="1"/>
    </xf>
    <xf numFmtId="0" fontId="0" fillId="0" borderId="0" xfId="0" applyAlignment="1">
      <alignment horizontal="left"/>
    </xf>
    <xf numFmtId="0" fontId="0" fillId="0" borderId="0" xfId="0" applyFont="1" applyAlignment="1">
      <alignment horizontal="center"/>
    </xf>
    <xf numFmtId="0" fontId="0" fillId="0" borderId="0" xfId="0" applyFont="1" applyBorder="1" applyAlignment="1" applyProtection="1">
      <alignment horizontal="right"/>
      <protection hidden="1"/>
    </xf>
    <xf numFmtId="9" fontId="0" fillId="0" borderId="0" xfId="1" applyFont="1" applyBorder="1" applyAlignment="1" applyProtection="1">
      <alignment horizontal="right"/>
      <protection hidden="1"/>
    </xf>
    <xf numFmtId="14" fontId="0" fillId="0" borderId="0" xfId="0" applyNumberFormat="1" applyFont="1" applyFill="1" applyAlignment="1">
      <alignment horizontal="right"/>
    </xf>
    <xf numFmtId="0" fontId="2" fillId="0" borderId="4" xfId="0" applyFont="1" applyFill="1" applyBorder="1" applyAlignment="1" applyProtection="1">
      <alignment horizontal="center" vertical="top" wrapText="1"/>
      <protection hidden="1"/>
    </xf>
    <xf numFmtId="0" fontId="2" fillId="0" borderId="14"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0" fillId="0" borderId="14" xfId="0" applyFont="1" applyBorder="1" applyAlignment="1" applyProtection="1">
      <alignment horizontal="center"/>
      <protection hidden="1"/>
    </xf>
    <xf numFmtId="0" fontId="0" fillId="0" borderId="0" xfId="0" applyFont="1" applyAlignment="1" applyProtection="1">
      <alignment horizontal="center"/>
      <protection hidden="1"/>
    </xf>
    <xf numFmtId="0" fontId="5" fillId="4" borderId="16" xfId="5" applyFont="1" applyBorder="1" applyAlignment="1">
      <alignment horizontal="center"/>
    </xf>
    <xf numFmtId="0" fontId="5" fillId="4" borderId="17" xfId="5" applyFont="1" applyBorder="1" applyAlignment="1">
      <alignment horizontal="center"/>
    </xf>
    <xf numFmtId="0" fontId="5" fillId="2" borderId="16" xfId="3" applyBorder="1" applyAlignment="1">
      <alignment horizontal="center"/>
    </xf>
    <xf numFmtId="0" fontId="5" fillId="2" borderId="17" xfId="3" applyBorder="1" applyAlignment="1">
      <alignment horizontal="center"/>
    </xf>
    <xf numFmtId="0" fontId="5" fillId="2" borderId="18" xfId="3" applyBorder="1" applyAlignment="1">
      <alignment horizontal="center"/>
    </xf>
    <xf numFmtId="0" fontId="2" fillId="0" borderId="4" xfId="0" applyFont="1" applyBorder="1" applyAlignment="1" applyProtection="1">
      <alignment horizontal="center" vertical="top" wrapText="1"/>
      <protection hidden="1"/>
    </xf>
    <xf numFmtId="9" fontId="2" fillId="0" borderId="0" xfId="0" applyNumberFormat="1" applyFont="1" applyAlignment="1" applyProtection="1">
      <alignment horizontal="center"/>
      <protection hidden="1"/>
    </xf>
    <xf numFmtId="0" fontId="0" fillId="0" borderId="0" xfId="0" applyFont="1" applyBorder="1" applyAlignment="1" applyProtection="1">
      <alignment horizontal="left" vertical="top" wrapText="1"/>
      <protection hidden="1"/>
    </xf>
    <xf numFmtId="14" fontId="0" fillId="0" borderId="0" xfId="0" applyNumberFormat="1" applyFont="1" applyFill="1" applyBorder="1" applyAlignment="1">
      <alignment horizontal="right"/>
    </xf>
    <xf numFmtId="0" fontId="7" fillId="11" borderId="16" xfId="0" applyFont="1" applyFill="1" applyBorder="1" applyAlignment="1">
      <alignment horizontal="center"/>
    </xf>
    <xf numFmtId="0" fontId="7" fillId="11" borderId="17" xfId="0" applyFont="1" applyFill="1" applyBorder="1" applyAlignment="1">
      <alignment horizontal="center"/>
    </xf>
    <xf numFmtId="0" fontId="7" fillId="11" borderId="18" xfId="0" applyFont="1" applyFill="1" applyBorder="1" applyAlignment="1">
      <alignment horizontal="center"/>
    </xf>
    <xf numFmtId="0" fontId="7" fillId="12" borderId="9" xfId="0" applyFont="1" applyFill="1" applyBorder="1" applyAlignment="1">
      <alignment horizontal="center"/>
    </xf>
    <xf numFmtId="9" fontId="2" fillId="0" borderId="0" xfId="0" applyNumberFormat="1" applyFont="1" applyBorder="1" applyAlignment="1" applyProtection="1">
      <alignment horizontal="center"/>
      <protection hidden="1"/>
    </xf>
    <xf numFmtId="0" fontId="5" fillId="2" borderId="0" xfId="3" applyBorder="1" applyAlignment="1">
      <alignment horizontal="center"/>
    </xf>
    <xf numFmtId="0" fontId="5" fillId="4" borderId="0" xfId="5" applyFont="1" applyBorder="1" applyAlignment="1">
      <alignment horizontal="center"/>
    </xf>
    <xf numFmtId="0" fontId="5" fillId="4" borderId="21" xfId="5" applyFont="1" applyBorder="1" applyAlignment="1">
      <alignment horizontal="center"/>
    </xf>
    <xf numFmtId="0" fontId="5" fillId="4" borderId="22" xfId="5" applyFont="1" applyBorder="1" applyAlignment="1">
      <alignment horizontal="center"/>
    </xf>
    <xf numFmtId="0" fontId="8" fillId="17" borderId="8" xfId="9" applyBorder="1" applyAlignment="1">
      <alignment horizontal="center" vertical="center"/>
    </xf>
    <xf numFmtId="0" fontId="8" fillId="17" borderId="8" xfId="9" applyBorder="1" applyAlignment="1">
      <alignment horizontal="center"/>
    </xf>
    <xf numFmtId="0" fontId="8" fillId="17" borderId="26" xfId="9" applyBorder="1" applyAlignment="1">
      <alignment horizontal="center"/>
    </xf>
    <xf numFmtId="0" fontId="12" fillId="8" borderId="9" xfId="0" applyFont="1" applyFill="1" applyBorder="1" applyAlignment="1">
      <alignment horizontal="left" vertical="center"/>
    </xf>
    <xf numFmtId="0" fontId="12" fillId="0" borderId="9" xfId="0" applyFont="1" applyBorder="1" applyAlignment="1">
      <alignment horizontal="center" vertical="center"/>
    </xf>
    <xf numFmtId="0" fontId="15" fillId="0" borderId="13"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3" xfId="0" applyFont="1" applyFill="1" applyBorder="1" applyAlignment="1">
      <alignment horizontal="center" wrapText="1"/>
    </xf>
    <xf numFmtId="0" fontId="15" fillId="0" borderId="14" xfId="0" applyFont="1" applyFill="1" applyBorder="1" applyAlignment="1">
      <alignment horizontal="center" wrapText="1"/>
    </xf>
    <xf numFmtId="0" fontId="0" fillId="4" borderId="5" xfId="5" applyFont="1" applyBorder="1" applyAlignment="1">
      <alignment horizontal="center" vertical="center" wrapText="1"/>
    </xf>
    <xf numFmtId="0" fontId="0" fillId="4" borderId="0" xfId="5" applyFont="1" applyBorder="1" applyAlignment="1">
      <alignment horizontal="center" vertical="center" wrapText="1"/>
    </xf>
  </cellXfs>
  <cellStyles count="10">
    <cellStyle name="40% - Accent1" xfId="8" builtinId="31"/>
    <cellStyle name="Accent1" xfId="9" builtinId="29"/>
    <cellStyle name="Accent2" xfId="6" builtinId="33"/>
    <cellStyle name="Calculation" xfId="7" builtinId="22"/>
    <cellStyle name="Comma" xfId="2" builtinId="3"/>
    <cellStyle name="Input" xfId="4" builtinId="20"/>
    <cellStyle name="Neutral" xfId="3" builtinId="28"/>
    <cellStyle name="Normal" xfId="0" builtinId="0"/>
    <cellStyle name="Note" xfId="5" builtinId="10"/>
    <cellStyle name="Percent" xfId="1" builtinId="5"/>
  </cellStyles>
  <dxfs count="94">
    <dxf>
      <fill>
        <patternFill>
          <bgColor theme="9"/>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theme="0"/>
        </patternFill>
      </fill>
    </dxf>
    <dxf>
      <fill>
        <patternFill>
          <bgColor theme="0"/>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theme="0"/>
        </patternFill>
      </fill>
    </dxf>
    <dxf>
      <fill>
        <patternFill>
          <bgColor theme="0"/>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theme="0"/>
        </patternFill>
      </fill>
    </dxf>
    <dxf>
      <fill>
        <patternFill>
          <bgColor theme="0"/>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9"/>
        </patternFill>
      </fill>
    </dxf>
    <dxf>
      <fill>
        <patternFill>
          <bgColor theme="9"/>
        </patternFill>
      </fill>
    </dxf>
    <dxf>
      <font>
        <color rgb="FF9C0006"/>
      </font>
      <fill>
        <patternFill>
          <bgColor rgb="FFFFC7CE"/>
        </patternFill>
      </fill>
    </dxf>
    <dxf>
      <font>
        <color rgb="FF9C0006"/>
      </font>
      <fill>
        <patternFill>
          <bgColor rgb="FFFFC7CE"/>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As Found Load Data</a:t>
            </a:r>
          </a:p>
        </c:rich>
      </c:tx>
      <c:layout>
        <c:manualLayout>
          <c:xMode val="edge"/>
          <c:yMode val="edge"/>
          <c:x val="0.36657592008428469"/>
          <c:y val="2.8769113538227076E-2"/>
        </c:manualLayout>
      </c:layout>
      <c:overlay val="0"/>
    </c:title>
    <c:autoTitleDeleted val="0"/>
    <c:plotArea>
      <c:layout/>
      <c:lineChart>
        <c:grouping val="standard"/>
        <c:varyColors val="0"/>
        <c:ser>
          <c:idx val="1"/>
          <c:order val="0"/>
          <c:tx>
            <c:strRef>
              <c:f>Report!$BD$77</c:f>
              <c:strCache>
                <c:ptCount val="1"/>
                <c:pt idx="0">
                  <c:v>RUN 1 % ERROR</c:v>
                </c:pt>
              </c:strCache>
            </c:strRef>
          </c:tx>
          <c:dLbls>
            <c:delete val="1"/>
          </c:dLbls>
          <c:cat>
            <c:strRef>
              <c:f>(Report!$BC$93:$BC$102,Report!$BC$78:$BC$87)</c:f>
              <c:strCache>
                <c:ptCount val="20"/>
                <c:pt idx="0">
                  <c:v>-</c:v>
                </c:pt>
                <c:pt idx="1">
                  <c:v>-</c:v>
                </c:pt>
                <c:pt idx="2">
                  <c:v>-</c:v>
                </c:pt>
                <c:pt idx="3">
                  <c:v>-</c:v>
                </c:pt>
                <c:pt idx="4">
                  <c:v>-</c:v>
                </c:pt>
                <c:pt idx="5">
                  <c:v>-</c:v>
                </c:pt>
                <c:pt idx="6">
                  <c:v>-</c:v>
                </c:pt>
                <c:pt idx="7">
                  <c:v>-</c:v>
                </c:pt>
                <c:pt idx="8">
                  <c:v>-</c:v>
                </c:pt>
                <c:pt idx="9">
                  <c:v>-</c:v>
                </c:pt>
                <c:pt idx="10">
                  <c:v>#N/A</c:v>
                </c:pt>
                <c:pt idx="11">
                  <c:v>#N/A</c:v>
                </c:pt>
                <c:pt idx="12">
                  <c:v>#N/A</c:v>
                </c:pt>
                <c:pt idx="13">
                  <c:v>#N/A</c:v>
                </c:pt>
                <c:pt idx="14">
                  <c:v>#N/A</c:v>
                </c:pt>
                <c:pt idx="15">
                  <c:v>#N/A</c:v>
                </c:pt>
                <c:pt idx="16">
                  <c:v>#N/A</c:v>
                </c:pt>
                <c:pt idx="17">
                  <c:v>#N/A</c:v>
                </c:pt>
                <c:pt idx="18">
                  <c:v>#N/A</c:v>
                </c:pt>
                <c:pt idx="19">
                  <c:v>#N/A</c:v>
                </c:pt>
              </c:strCache>
            </c:strRef>
          </c:cat>
          <c:val>
            <c:numRef>
              <c:f>(Report!$BD$93:$BD$102,Report!$BD$78:$BD$87)</c:f>
              <c:numCache>
                <c:formatCode>0.00%</c:formatCode>
                <c:ptCount val="20"/>
                <c:pt idx="0">
                  <c:v>0</c:v>
                </c:pt>
                <c:pt idx="1">
                  <c:v>0</c:v>
                </c:pt>
                <c:pt idx="2">
                  <c:v>0</c:v>
                </c:pt>
                <c:pt idx="3">
                  <c:v>0</c:v>
                </c:pt>
                <c:pt idx="4">
                  <c:v>0</c:v>
                </c:pt>
                <c:pt idx="5">
                  <c:v>0</c:v>
                </c:pt>
                <c:pt idx="6">
                  <c:v>0</c:v>
                </c:pt>
                <c:pt idx="7">
                  <c:v>0</c:v>
                </c:pt>
                <c:pt idx="8">
                  <c:v>0</c:v>
                </c:pt>
                <c:pt idx="9">
                  <c:v>0</c:v>
                </c:pt>
                <c:pt idx="10" formatCode="0%">
                  <c:v>0</c:v>
                </c:pt>
                <c:pt idx="11" formatCode="0%">
                  <c:v>0</c:v>
                </c:pt>
                <c:pt idx="12" formatCode="0%">
                  <c:v>0</c:v>
                </c:pt>
                <c:pt idx="13" formatCode="0%">
                  <c:v>0</c:v>
                </c:pt>
                <c:pt idx="14" formatCode="0%">
                  <c:v>0</c:v>
                </c:pt>
                <c:pt idx="15" formatCode="0%">
                  <c:v>0</c:v>
                </c:pt>
                <c:pt idx="16" formatCode="0%">
                  <c:v>0</c:v>
                </c:pt>
                <c:pt idx="17" formatCode="0%">
                  <c:v>0</c:v>
                </c:pt>
                <c:pt idx="18" formatCode="0%">
                  <c:v>0</c:v>
                </c:pt>
                <c:pt idx="19" formatCode="0%">
                  <c:v>0</c:v>
                </c:pt>
              </c:numCache>
            </c:numRef>
          </c:val>
          <c:smooth val="0"/>
        </c:ser>
        <c:ser>
          <c:idx val="2"/>
          <c:order val="1"/>
          <c:tx>
            <c:strRef>
              <c:f>Report!$BE$77</c:f>
              <c:strCache>
                <c:ptCount val="1"/>
                <c:pt idx="0">
                  <c:v>RUN 2 % ERROR</c:v>
                </c:pt>
              </c:strCache>
            </c:strRef>
          </c:tx>
          <c:dLbls>
            <c:delete val="1"/>
          </c:dLbls>
          <c:cat>
            <c:strRef>
              <c:f>(Report!$BC$93:$BC$102,Report!$BC$78:$BC$87)</c:f>
              <c:strCache>
                <c:ptCount val="20"/>
                <c:pt idx="0">
                  <c:v>-</c:v>
                </c:pt>
                <c:pt idx="1">
                  <c:v>-</c:v>
                </c:pt>
                <c:pt idx="2">
                  <c:v>-</c:v>
                </c:pt>
                <c:pt idx="3">
                  <c:v>-</c:v>
                </c:pt>
                <c:pt idx="4">
                  <c:v>-</c:v>
                </c:pt>
                <c:pt idx="5">
                  <c:v>-</c:v>
                </c:pt>
                <c:pt idx="6">
                  <c:v>-</c:v>
                </c:pt>
                <c:pt idx="7">
                  <c:v>-</c:v>
                </c:pt>
                <c:pt idx="8">
                  <c:v>-</c:v>
                </c:pt>
                <c:pt idx="9">
                  <c:v>-</c:v>
                </c:pt>
                <c:pt idx="10">
                  <c:v>#N/A</c:v>
                </c:pt>
                <c:pt idx="11">
                  <c:v>#N/A</c:v>
                </c:pt>
                <c:pt idx="12">
                  <c:v>#N/A</c:v>
                </c:pt>
                <c:pt idx="13">
                  <c:v>#N/A</c:v>
                </c:pt>
                <c:pt idx="14">
                  <c:v>#N/A</c:v>
                </c:pt>
                <c:pt idx="15">
                  <c:v>#N/A</c:v>
                </c:pt>
                <c:pt idx="16">
                  <c:v>#N/A</c:v>
                </c:pt>
                <c:pt idx="17">
                  <c:v>#N/A</c:v>
                </c:pt>
                <c:pt idx="18">
                  <c:v>#N/A</c:v>
                </c:pt>
                <c:pt idx="19">
                  <c:v>#N/A</c:v>
                </c:pt>
              </c:strCache>
            </c:strRef>
          </c:cat>
          <c:val>
            <c:numRef>
              <c:f>(Report!$BE$93:$BE$102,Report!$BE$78:$BE$87)</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ser>
        <c:ser>
          <c:idx val="3"/>
          <c:order val="2"/>
          <c:tx>
            <c:strRef>
              <c:f>Report!$BF$77</c:f>
              <c:strCache>
                <c:ptCount val="1"/>
                <c:pt idx="0">
                  <c:v>Error Tolerance</c:v>
                </c:pt>
              </c:strCache>
            </c:strRef>
          </c:tx>
          <c:dLbls>
            <c:dLbl>
              <c:idx val="9"/>
              <c:layout/>
              <c:dLblPos val="b"/>
              <c:showLegendKey val="0"/>
              <c:showVal val="1"/>
              <c:showCatName val="0"/>
              <c:showSerName val="1"/>
              <c:showPercent val="0"/>
              <c:showBubbleSize val="0"/>
            </c:dLbl>
            <c:dLblPos val="b"/>
            <c:showLegendKey val="0"/>
            <c:showVal val="0"/>
            <c:showCatName val="0"/>
            <c:showSerName val="0"/>
            <c:showPercent val="0"/>
            <c:showBubbleSize val="0"/>
          </c:dLbls>
          <c:cat>
            <c:strRef>
              <c:f>(Report!$BC$93:$BC$102,Report!$BC$78:$BC$87)</c:f>
              <c:strCache>
                <c:ptCount val="20"/>
                <c:pt idx="0">
                  <c:v>-</c:v>
                </c:pt>
                <c:pt idx="1">
                  <c:v>-</c:v>
                </c:pt>
                <c:pt idx="2">
                  <c:v>-</c:v>
                </c:pt>
                <c:pt idx="3">
                  <c:v>-</c:v>
                </c:pt>
                <c:pt idx="4">
                  <c:v>-</c:v>
                </c:pt>
                <c:pt idx="5">
                  <c:v>-</c:v>
                </c:pt>
                <c:pt idx="6">
                  <c:v>-</c:v>
                </c:pt>
                <c:pt idx="7">
                  <c:v>-</c:v>
                </c:pt>
                <c:pt idx="8">
                  <c:v>-</c:v>
                </c:pt>
                <c:pt idx="9">
                  <c:v>-</c:v>
                </c:pt>
                <c:pt idx="10">
                  <c:v>#N/A</c:v>
                </c:pt>
                <c:pt idx="11">
                  <c:v>#N/A</c:v>
                </c:pt>
                <c:pt idx="12">
                  <c:v>#N/A</c:v>
                </c:pt>
                <c:pt idx="13">
                  <c:v>#N/A</c:v>
                </c:pt>
                <c:pt idx="14">
                  <c:v>#N/A</c:v>
                </c:pt>
                <c:pt idx="15">
                  <c:v>#N/A</c:v>
                </c:pt>
                <c:pt idx="16">
                  <c:v>#N/A</c:v>
                </c:pt>
                <c:pt idx="17">
                  <c:v>#N/A</c:v>
                </c:pt>
                <c:pt idx="18">
                  <c:v>#N/A</c:v>
                </c:pt>
                <c:pt idx="19">
                  <c:v>#N/A</c:v>
                </c:pt>
              </c:strCache>
            </c:strRef>
          </c:cat>
          <c:val>
            <c:numRef>
              <c:f>(Report!$BG$78:$BG$87,Report!$BG$93:$BG$102)</c:f>
              <c:numCache>
                <c:formatCode>0%</c:formatCode>
                <c:ptCount val="20"/>
                <c:pt idx="0">
                  <c:v>-0.01</c:v>
                </c:pt>
                <c:pt idx="1">
                  <c:v>-0.01</c:v>
                </c:pt>
                <c:pt idx="2">
                  <c:v>-0.01</c:v>
                </c:pt>
                <c:pt idx="3">
                  <c:v>-0.01</c:v>
                </c:pt>
                <c:pt idx="4">
                  <c:v>-0.01</c:v>
                </c:pt>
                <c:pt idx="5">
                  <c:v>-0.01</c:v>
                </c:pt>
                <c:pt idx="6">
                  <c:v>-0.01</c:v>
                </c:pt>
                <c:pt idx="7">
                  <c:v>-0.01</c:v>
                </c:pt>
                <c:pt idx="8">
                  <c:v>-0.01</c:v>
                </c:pt>
                <c:pt idx="9">
                  <c:v>-0.01</c:v>
                </c:pt>
                <c:pt idx="10">
                  <c:v>-0.01</c:v>
                </c:pt>
                <c:pt idx="11">
                  <c:v>-0.01</c:v>
                </c:pt>
                <c:pt idx="12">
                  <c:v>-0.01</c:v>
                </c:pt>
                <c:pt idx="13">
                  <c:v>-0.01</c:v>
                </c:pt>
                <c:pt idx="14">
                  <c:v>-0.01</c:v>
                </c:pt>
                <c:pt idx="15">
                  <c:v>-0.01</c:v>
                </c:pt>
                <c:pt idx="16">
                  <c:v>-0.01</c:v>
                </c:pt>
                <c:pt idx="17">
                  <c:v>-0.01</c:v>
                </c:pt>
                <c:pt idx="18">
                  <c:v>-0.01</c:v>
                </c:pt>
                <c:pt idx="19">
                  <c:v>-0.01</c:v>
                </c:pt>
              </c:numCache>
            </c:numRef>
          </c:val>
          <c:smooth val="0"/>
        </c:ser>
        <c:ser>
          <c:idx val="0"/>
          <c:order val="3"/>
          <c:tx>
            <c:strRef>
              <c:f>Report!$BF$77</c:f>
              <c:strCache>
                <c:ptCount val="1"/>
                <c:pt idx="0">
                  <c:v>Error Tolerance</c:v>
                </c:pt>
              </c:strCache>
            </c:strRef>
          </c:tx>
          <c:dLbls>
            <c:dLbl>
              <c:idx val="9"/>
              <c:layout/>
              <c:dLblPos val="t"/>
              <c:showLegendKey val="0"/>
              <c:showVal val="1"/>
              <c:showCatName val="0"/>
              <c:showSerName val="1"/>
              <c:showPercent val="0"/>
              <c:showBubbleSize val="0"/>
            </c:dLbl>
            <c:showLegendKey val="0"/>
            <c:showVal val="0"/>
            <c:showCatName val="0"/>
            <c:showSerName val="0"/>
            <c:showPercent val="0"/>
            <c:showBubbleSize val="0"/>
          </c:dLbls>
          <c:cat>
            <c:strRef>
              <c:f>(Report!$BC$93:$BC$102,Report!$BC$78:$BC$87)</c:f>
              <c:strCache>
                <c:ptCount val="20"/>
                <c:pt idx="0">
                  <c:v>-</c:v>
                </c:pt>
                <c:pt idx="1">
                  <c:v>-</c:v>
                </c:pt>
                <c:pt idx="2">
                  <c:v>-</c:v>
                </c:pt>
                <c:pt idx="3">
                  <c:v>-</c:v>
                </c:pt>
                <c:pt idx="4">
                  <c:v>-</c:v>
                </c:pt>
                <c:pt idx="5">
                  <c:v>-</c:v>
                </c:pt>
                <c:pt idx="6">
                  <c:v>-</c:v>
                </c:pt>
                <c:pt idx="7">
                  <c:v>-</c:v>
                </c:pt>
                <c:pt idx="8">
                  <c:v>-</c:v>
                </c:pt>
                <c:pt idx="9">
                  <c:v>-</c:v>
                </c:pt>
                <c:pt idx="10">
                  <c:v>#N/A</c:v>
                </c:pt>
                <c:pt idx="11">
                  <c:v>#N/A</c:v>
                </c:pt>
                <c:pt idx="12">
                  <c:v>#N/A</c:v>
                </c:pt>
                <c:pt idx="13">
                  <c:v>#N/A</c:v>
                </c:pt>
                <c:pt idx="14">
                  <c:v>#N/A</c:v>
                </c:pt>
                <c:pt idx="15">
                  <c:v>#N/A</c:v>
                </c:pt>
                <c:pt idx="16">
                  <c:v>#N/A</c:v>
                </c:pt>
                <c:pt idx="17">
                  <c:v>#N/A</c:v>
                </c:pt>
                <c:pt idx="18">
                  <c:v>#N/A</c:v>
                </c:pt>
                <c:pt idx="19">
                  <c:v>#N/A</c:v>
                </c:pt>
              </c:strCache>
            </c:strRef>
          </c:cat>
          <c:val>
            <c:numRef>
              <c:f>(Report!$BF$78:$BF$87,Report!$BF$93:$BF$102)</c:f>
              <c:numCache>
                <c:formatCode>0%</c:formatCode>
                <c:ptCount val="20"/>
                <c:pt idx="0">
                  <c:v>0.01</c:v>
                </c:pt>
                <c:pt idx="1">
                  <c:v>0.01</c:v>
                </c:pt>
                <c:pt idx="2">
                  <c:v>0.01</c:v>
                </c:pt>
                <c:pt idx="3">
                  <c:v>0.01</c:v>
                </c:pt>
                <c:pt idx="4">
                  <c:v>0.01</c:v>
                </c:pt>
                <c:pt idx="5">
                  <c:v>0.01</c:v>
                </c:pt>
                <c:pt idx="6">
                  <c:v>0.01</c:v>
                </c:pt>
                <c:pt idx="7">
                  <c:v>0.01</c:v>
                </c:pt>
                <c:pt idx="8">
                  <c:v>0.01</c:v>
                </c:pt>
                <c:pt idx="9">
                  <c:v>0.01</c:v>
                </c:pt>
                <c:pt idx="10">
                  <c:v>0.01</c:v>
                </c:pt>
                <c:pt idx="11">
                  <c:v>0.01</c:v>
                </c:pt>
                <c:pt idx="12">
                  <c:v>0.01</c:v>
                </c:pt>
                <c:pt idx="13">
                  <c:v>0.01</c:v>
                </c:pt>
                <c:pt idx="14">
                  <c:v>0.01</c:v>
                </c:pt>
                <c:pt idx="15">
                  <c:v>0.01</c:v>
                </c:pt>
                <c:pt idx="16">
                  <c:v>0.01</c:v>
                </c:pt>
                <c:pt idx="17">
                  <c:v>0.01</c:v>
                </c:pt>
                <c:pt idx="18">
                  <c:v>0.01</c:v>
                </c:pt>
                <c:pt idx="19">
                  <c:v>0.01</c:v>
                </c:pt>
              </c:numCache>
            </c:numRef>
          </c:val>
          <c:smooth val="0"/>
        </c:ser>
        <c:dLbls>
          <c:showLegendKey val="0"/>
          <c:showVal val="1"/>
          <c:showCatName val="0"/>
          <c:showSerName val="0"/>
          <c:showPercent val="0"/>
          <c:showBubbleSize val="0"/>
        </c:dLbls>
        <c:marker val="1"/>
        <c:smooth val="0"/>
        <c:axId val="199047680"/>
        <c:axId val="173860544"/>
      </c:lineChart>
      <c:catAx>
        <c:axId val="199047680"/>
        <c:scaling>
          <c:orientation val="minMax"/>
        </c:scaling>
        <c:delete val="0"/>
        <c:axPos val="b"/>
        <c:title>
          <c:tx>
            <c:rich>
              <a:bodyPr/>
              <a:lstStyle/>
              <a:p>
                <a:pPr>
                  <a:defRPr/>
                </a:pPr>
                <a:r>
                  <a:rPr lang="en-US"/>
                  <a:t>Test Points</a:t>
                </a:r>
              </a:p>
            </c:rich>
          </c:tx>
          <c:layout/>
          <c:overlay val="0"/>
        </c:title>
        <c:numFmt formatCode="General" sourceLinked="1"/>
        <c:majorTickMark val="none"/>
        <c:minorTickMark val="none"/>
        <c:tickLblPos val="low"/>
        <c:txPr>
          <a:bodyPr rot="-2700000"/>
          <a:lstStyle/>
          <a:p>
            <a:pPr>
              <a:defRPr/>
            </a:pPr>
            <a:endParaRPr lang="en-US"/>
          </a:p>
        </c:txPr>
        <c:crossAx val="173860544"/>
        <c:crossesAt val="0"/>
        <c:auto val="1"/>
        <c:lblAlgn val="ctr"/>
        <c:lblOffset val="100"/>
        <c:noMultiLvlLbl val="0"/>
      </c:catAx>
      <c:valAx>
        <c:axId val="173860544"/>
        <c:scaling>
          <c:orientation val="minMax"/>
        </c:scaling>
        <c:delete val="0"/>
        <c:axPos val="l"/>
        <c:majorGridlines/>
        <c:title>
          <c:tx>
            <c:rich>
              <a:bodyPr/>
              <a:lstStyle/>
              <a:p>
                <a:pPr>
                  <a:defRPr/>
                </a:pPr>
                <a:r>
                  <a:rPr lang="en-US"/>
                  <a:t>%</a:t>
                </a:r>
                <a:r>
                  <a:rPr lang="en-US" baseline="0"/>
                  <a:t> Error</a:t>
                </a:r>
                <a:endParaRPr lang="en-US"/>
              </a:p>
            </c:rich>
          </c:tx>
          <c:layout/>
          <c:overlay val="0"/>
        </c:title>
        <c:numFmt formatCode="0.00%" sourceLinked="1"/>
        <c:majorTickMark val="none"/>
        <c:minorTickMark val="none"/>
        <c:tickLblPos val="nextTo"/>
        <c:crossAx val="199047680"/>
        <c:crosses val="autoZero"/>
        <c:crossBetween val="between"/>
      </c:valAx>
    </c:plotArea>
    <c:legend>
      <c:legendPos val="r"/>
      <c:legendEntry>
        <c:idx val="2"/>
        <c:delete val="1"/>
      </c:legendEntry>
      <c:legendEntry>
        <c:idx val="3"/>
        <c:delete val="1"/>
      </c:legendEntry>
      <c:layout/>
      <c:overlay val="0"/>
    </c:legend>
    <c:plotVisOnly val="1"/>
    <c:dispBlanksAs val="gap"/>
    <c:showDLblsOverMax val="0"/>
  </c:chart>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As Left Load Data</a:t>
            </a:r>
          </a:p>
        </c:rich>
      </c:tx>
      <c:layout>
        <c:manualLayout>
          <c:xMode val="edge"/>
          <c:yMode val="edge"/>
          <c:x val="0.39529851681652689"/>
          <c:y val="2.4468038269409877E-2"/>
        </c:manualLayout>
      </c:layout>
      <c:overlay val="0"/>
    </c:title>
    <c:autoTitleDeleted val="0"/>
    <c:plotArea>
      <c:layout/>
      <c:lineChart>
        <c:grouping val="standard"/>
        <c:varyColors val="0"/>
        <c:ser>
          <c:idx val="1"/>
          <c:order val="0"/>
          <c:tx>
            <c:strRef>
              <c:f>Report!$BD$129</c:f>
              <c:strCache>
                <c:ptCount val="1"/>
                <c:pt idx="0">
                  <c:v>RUN 1 % ERROR</c:v>
                </c:pt>
              </c:strCache>
            </c:strRef>
          </c:tx>
          <c:dLbls>
            <c:delete val="1"/>
          </c:dLbls>
          <c:cat>
            <c:strRef>
              <c:f>(Report!$BC$145:$BC$154,Report!$BC$130:$BC$138)</c:f>
              <c:strCache>
                <c:ptCount val="19"/>
                <c:pt idx="0">
                  <c:v>-</c:v>
                </c:pt>
                <c:pt idx="1">
                  <c:v>-</c:v>
                </c:pt>
                <c:pt idx="2">
                  <c:v>-</c:v>
                </c:pt>
                <c:pt idx="3">
                  <c:v>-</c:v>
                </c:pt>
                <c:pt idx="4">
                  <c:v>-</c:v>
                </c:pt>
                <c:pt idx="5">
                  <c:v>-</c:v>
                </c:pt>
                <c:pt idx="6">
                  <c:v>-</c:v>
                </c:pt>
                <c:pt idx="7">
                  <c:v>-</c:v>
                </c:pt>
                <c:pt idx="8">
                  <c:v>-</c:v>
                </c:pt>
                <c:pt idx="9">
                  <c:v>-</c:v>
                </c:pt>
                <c:pt idx="10">
                  <c:v>#N/A</c:v>
                </c:pt>
                <c:pt idx="11">
                  <c:v>#N/A</c:v>
                </c:pt>
                <c:pt idx="12">
                  <c:v>#N/A</c:v>
                </c:pt>
                <c:pt idx="13">
                  <c:v>#N/A</c:v>
                </c:pt>
                <c:pt idx="14">
                  <c:v>#N/A</c:v>
                </c:pt>
                <c:pt idx="15">
                  <c:v>#N/A</c:v>
                </c:pt>
                <c:pt idx="16">
                  <c:v>#N/A</c:v>
                </c:pt>
                <c:pt idx="17">
                  <c:v>#N/A</c:v>
                </c:pt>
                <c:pt idx="18">
                  <c:v>#N/A</c:v>
                </c:pt>
              </c:strCache>
            </c:strRef>
          </c:cat>
          <c:val>
            <c:numRef>
              <c:f>(Report!$BD$145:$BD$154,Report!$BD$130:$BD$139)</c:f>
              <c:numCache>
                <c:formatCode>0.00%</c:formatCode>
                <c:ptCount val="20"/>
                <c:pt idx="0">
                  <c:v>0</c:v>
                </c:pt>
                <c:pt idx="1">
                  <c:v>0</c:v>
                </c:pt>
                <c:pt idx="2">
                  <c:v>0</c:v>
                </c:pt>
                <c:pt idx="3">
                  <c:v>0</c:v>
                </c:pt>
                <c:pt idx="4">
                  <c:v>0</c:v>
                </c:pt>
                <c:pt idx="5">
                  <c:v>0</c:v>
                </c:pt>
                <c:pt idx="6">
                  <c:v>0</c:v>
                </c:pt>
                <c:pt idx="7">
                  <c:v>0</c:v>
                </c:pt>
                <c:pt idx="8">
                  <c:v>0</c:v>
                </c:pt>
                <c:pt idx="9">
                  <c:v>0</c:v>
                </c:pt>
                <c:pt idx="10" formatCode="0%">
                  <c:v>0</c:v>
                </c:pt>
                <c:pt idx="11" formatCode="0%">
                  <c:v>0</c:v>
                </c:pt>
                <c:pt idx="12" formatCode="0%">
                  <c:v>0</c:v>
                </c:pt>
                <c:pt idx="13" formatCode="0%">
                  <c:v>0</c:v>
                </c:pt>
                <c:pt idx="14" formatCode="0%">
                  <c:v>0</c:v>
                </c:pt>
                <c:pt idx="15" formatCode="0%">
                  <c:v>0</c:v>
                </c:pt>
                <c:pt idx="16" formatCode="0%">
                  <c:v>0</c:v>
                </c:pt>
                <c:pt idx="17" formatCode="0%">
                  <c:v>0</c:v>
                </c:pt>
                <c:pt idx="18" formatCode="0%">
                  <c:v>0</c:v>
                </c:pt>
                <c:pt idx="19" formatCode="0%">
                  <c:v>0</c:v>
                </c:pt>
              </c:numCache>
            </c:numRef>
          </c:val>
          <c:smooth val="0"/>
        </c:ser>
        <c:ser>
          <c:idx val="2"/>
          <c:order val="1"/>
          <c:tx>
            <c:strRef>
              <c:f>Report!$BE$129</c:f>
              <c:strCache>
                <c:ptCount val="1"/>
                <c:pt idx="0">
                  <c:v>RUN 2 % ERROR</c:v>
                </c:pt>
              </c:strCache>
            </c:strRef>
          </c:tx>
          <c:dLbls>
            <c:delete val="1"/>
          </c:dLbls>
          <c:cat>
            <c:strRef>
              <c:f>(Report!$BC$145:$BC$154,Report!$BC$130:$BC$138)</c:f>
              <c:strCache>
                <c:ptCount val="19"/>
                <c:pt idx="0">
                  <c:v>-</c:v>
                </c:pt>
                <c:pt idx="1">
                  <c:v>-</c:v>
                </c:pt>
                <c:pt idx="2">
                  <c:v>-</c:v>
                </c:pt>
                <c:pt idx="3">
                  <c:v>-</c:v>
                </c:pt>
                <c:pt idx="4">
                  <c:v>-</c:v>
                </c:pt>
                <c:pt idx="5">
                  <c:v>-</c:v>
                </c:pt>
                <c:pt idx="6">
                  <c:v>-</c:v>
                </c:pt>
                <c:pt idx="7">
                  <c:v>-</c:v>
                </c:pt>
                <c:pt idx="8">
                  <c:v>-</c:v>
                </c:pt>
                <c:pt idx="9">
                  <c:v>-</c:v>
                </c:pt>
                <c:pt idx="10">
                  <c:v>#N/A</c:v>
                </c:pt>
                <c:pt idx="11">
                  <c:v>#N/A</c:v>
                </c:pt>
                <c:pt idx="12">
                  <c:v>#N/A</c:v>
                </c:pt>
                <c:pt idx="13">
                  <c:v>#N/A</c:v>
                </c:pt>
                <c:pt idx="14">
                  <c:v>#N/A</c:v>
                </c:pt>
                <c:pt idx="15">
                  <c:v>#N/A</c:v>
                </c:pt>
                <c:pt idx="16">
                  <c:v>#N/A</c:v>
                </c:pt>
                <c:pt idx="17">
                  <c:v>#N/A</c:v>
                </c:pt>
                <c:pt idx="18">
                  <c:v>#N/A</c:v>
                </c:pt>
              </c:strCache>
            </c:strRef>
          </c:cat>
          <c:val>
            <c:numRef>
              <c:f>(Report!$BE$145:$BE$154,Report!$BE$130:$BE$139)</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ser>
        <c:ser>
          <c:idx val="3"/>
          <c:order val="2"/>
          <c:tx>
            <c:strRef>
              <c:f>Report!$BF$77</c:f>
              <c:strCache>
                <c:ptCount val="1"/>
                <c:pt idx="0">
                  <c:v>Error Tolerance</c:v>
                </c:pt>
              </c:strCache>
            </c:strRef>
          </c:tx>
          <c:dLbls>
            <c:dLbl>
              <c:idx val="9"/>
              <c:layout/>
              <c:dLblPos val="b"/>
              <c:showLegendKey val="0"/>
              <c:showVal val="1"/>
              <c:showCatName val="0"/>
              <c:showSerName val="1"/>
              <c:showPercent val="0"/>
              <c:showBubbleSize val="0"/>
            </c:dLbl>
            <c:dLblPos val="b"/>
            <c:showLegendKey val="0"/>
            <c:showVal val="0"/>
            <c:showCatName val="0"/>
            <c:showSerName val="0"/>
            <c:showPercent val="0"/>
            <c:showBubbleSize val="0"/>
          </c:dLbls>
          <c:cat>
            <c:strRef>
              <c:f>(Report!$BC$145:$BC$154,Report!$BC$130:$BC$138)</c:f>
              <c:strCache>
                <c:ptCount val="19"/>
                <c:pt idx="0">
                  <c:v>-</c:v>
                </c:pt>
                <c:pt idx="1">
                  <c:v>-</c:v>
                </c:pt>
                <c:pt idx="2">
                  <c:v>-</c:v>
                </c:pt>
                <c:pt idx="3">
                  <c:v>-</c:v>
                </c:pt>
                <c:pt idx="4">
                  <c:v>-</c:v>
                </c:pt>
                <c:pt idx="5">
                  <c:v>-</c:v>
                </c:pt>
                <c:pt idx="6">
                  <c:v>-</c:v>
                </c:pt>
                <c:pt idx="7">
                  <c:v>-</c:v>
                </c:pt>
                <c:pt idx="8">
                  <c:v>-</c:v>
                </c:pt>
                <c:pt idx="9">
                  <c:v>-</c:v>
                </c:pt>
                <c:pt idx="10">
                  <c:v>#N/A</c:v>
                </c:pt>
                <c:pt idx="11">
                  <c:v>#N/A</c:v>
                </c:pt>
                <c:pt idx="12">
                  <c:v>#N/A</c:v>
                </c:pt>
                <c:pt idx="13">
                  <c:v>#N/A</c:v>
                </c:pt>
                <c:pt idx="14">
                  <c:v>#N/A</c:v>
                </c:pt>
                <c:pt idx="15">
                  <c:v>#N/A</c:v>
                </c:pt>
                <c:pt idx="16">
                  <c:v>#N/A</c:v>
                </c:pt>
                <c:pt idx="17">
                  <c:v>#N/A</c:v>
                </c:pt>
                <c:pt idx="18">
                  <c:v>#N/A</c:v>
                </c:pt>
              </c:strCache>
            </c:strRef>
          </c:cat>
          <c:val>
            <c:numRef>
              <c:f>(Report!$BG$78:$BG$87,Report!$BG$93:$BG$102)</c:f>
              <c:numCache>
                <c:formatCode>0%</c:formatCode>
                <c:ptCount val="20"/>
                <c:pt idx="0">
                  <c:v>-0.01</c:v>
                </c:pt>
                <c:pt idx="1">
                  <c:v>-0.01</c:v>
                </c:pt>
                <c:pt idx="2">
                  <c:v>-0.01</c:v>
                </c:pt>
                <c:pt idx="3">
                  <c:v>-0.01</c:v>
                </c:pt>
                <c:pt idx="4">
                  <c:v>-0.01</c:v>
                </c:pt>
                <c:pt idx="5">
                  <c:v>-0.01</c:v>
                </c:pt>
                <c:pt idx="6">
                  <c:v>-0.01</c:v>
                </c:pt>
                <c:pt idx="7">
                  <c:v>-0.01</c:v>
                </c:pt>
                <c:pt idx="8">
                  <c:v>-0.01</c:v>
                </c:pt>
                <c:pt idx="9">
                  <c:v>-0.01</c:v>
                </c:pt>
                <c:pt idx="10">
                  <c:v>-0.01</c:v>
                </c:pt>
                <c:pt idx="11">
                  <c:v>-0.01</c:v>
                </c:pt>
                <c:pt idx="12">
                  <c:v>-0.01</c:v>
                </c:pt>
                <c:pt idx="13">
                  <c:v>-0.01</c:v>
                </c:pt>
                <c:pt idx="14">
                  <c:v>-0.01</c:v>
                </c:pt>
                <c:pt idx="15">
                  <c:v>-0.01</c:v>
                </c:pt>
                <c:pt idx="16">
                  <c:v>-0.01</c:v>
                </c:pt>
                <c:pt idx="17">
                  <c:v>-0.01</c:v>
                </c:pt>
                <c:pt idx="18">
                  <c:v>-0.01</c:v>
                </c:pt>
                <c:pt idx="19">
                  <c:v>-0.01</c:v>
                </c:pt>
              </c:numCache>
            </c:numRef>
          </c:val>
          <c:smooth val="0"/>
        </c:ser>
        <c:ser>
          <c:idx val="0"/>
          <c:order val="3"/>
          <c:tx>
            <c:strRef>
              <c:f>Report!$BF$77</c:f>
              <c:strCache>
                <c:ptCount val="1"/>
                <c:pt idx="0">
                  <c:v>Error Tolerance</c:v>
                </c:pt>
              </c:strCache>
            </c:strRef>
          </c:tx>
          <c:dLbls>
            <c:dLbl>
              <c:idx val="9"/>
              <c:layout/>
              <c:dLblPos val="t"/>
              <c:showLegendKey val="0"/>
              <c:showVal val="1"/>
              <c:showCatName val="0"/>
              <c:showSerName val="1"/>
              <c:showPercent val="0"/>
              <c:showBubbleSize val="0"/>
            </c:dLbl>
            <c:showLegendKey val="0"/>
            <c:showVal val="0"/>
            <c:showCatName val="0"/>
            <c:showSerName val="0"/>
            <c:showPercent val="0"/>
            <c:showBubbleSize val="0"/>
          </c:dLbls>
          <c:cat>
            <c:strRef>
              <c:f>(Report!$BC$145:$BC$154,Report!$BC$130:$BC$138)</c:f>
              <c:strCache>
                <c:ptCount val="19"/>
                <c:pt idx="0">
                  <c:v>-</c:v>
                </c:pt>
                <c:pt idx="1">
                  <c:v>-</c:v>
                </c:pt>
                <c:pt idx="2">
                  <c:v>-</c:v>
                </c:pt>
                <c:pt idx="3">
                  <c:v>-</c:v>
                </c:pt>
                <c:pt idx="4">
                  <c:v>-</c:v>
                </c:pt>
                <c:pt idx="5">
                  <c:v>-</c:v>
                </c:pt>
                <c:pt idx="6">
                  <c:v>-</c:v>
                </c:pt>
                <c:pt idx="7">
                  <c:v>-</c:v>
                </c:pt>
                <c:pt idx="8">
                  <c:v>-</c:v>
                </c:pt>
                <c:pt idx="9">
                  <c:v>-</c:v>
                </c:pt>
                <c:pt idx="10">
                  <c:v>#N/A</c:v>
                </c:pt>
                <c:pt idx="11">
                  <c:v>#N/A</c:v>
                </c:pt>
                <c:pt idx="12">
                  <c:v>#N/A</c:v>
                </c:pt>
                <c:pt idx="13">
                  <c:v>#N/A</c:v>
                </c:pt>
                <c:pt idx="14">
                  <c:v>#N/A</c:v>
                </c:pt>
                <c:pt idx="15">
                  <c:v>#N/A</c:v>
                </c:pt>
                <c:pt idx="16">
                  <c:v>#N/A</c:v>
                </c:pt>
                <c:pt idx="17">
                  <c:v>#N/A</c:v>
                </c:pt>
                <c:pt idx="18">
                  <c:v>#N/A</c:v>
                </c:pt>
              </c:strCache>
            </c:strRef>
          </c:cat>
          <c:val>
            <c:numRef>
              <c:f>(Report!$BF$78:$BF$87,Report!$BF$93:$BF$102)</c:f>
              <c:numCache>
                <c:formatCode>0%</c:formatCode>
                <c:ptCount val="20"/>
                <c:pt idx="0">
                  <c:v>0.01</c:v>
                </c:pt>
                <c:pt idx="1">
                  <c:v>0.01</c:v>
                </c:pt>
                <c:pt idx="2">
                  <c:v>0.01</c:v>
                </c:pt>
                <c:pt idx="3">
                  <c:v>0.01</c:v>
                </c:pt>
                <c:pt idx="4">
                  <c:v>0.01</c:v>
                </c:pt>
                <c:pt idx="5">
                  <c:v>0.01</c:v>
                </c:pt>
                <c:pt idx="6">
                  <c:v>0.01</c:v>
                </c:pt>
                <c:pt idx="7">
                  <c:v>0.01</c:v>
                </c:pt>
                <c:pt idx="8">
                  <c:v>0.01</c:v>
                </c:pt>
                <c:pt idx="9">
                  <c:v>0.01</c:v>
                </c:pt>
                <c:pt idx="10">
                  <c:v>0.01</c:v>
                </c:pt>
                <c:pt idx="11">
                  <c:v>0.01</c:v>
                </c:pt>
                <c:pt idx="12">
                  <c:v>0.01</c:v>
                </c:pt>
                <c:pt idx="13">
                  <c:v>0.01</c:v>
                </c:pt>
                <c:pt idx="14">
                  <c:v>0.01</c:v>
                </c:pt>
                <c:pt idx="15">
                  <c:v>0.01</c:v>
                </c:pt>
                <c:pt idx="16">
                  <c:v>0.01</c:v>
                </c:pt>
                <c:pt idx="17">
                  <c:v>0.01</c:v>
                </c:pt>
                <c:pt idx="18">
                  <c:v>0.01</c:v>
                </c:pt>
                <c:pt idx="19">
                  <c:v>0.01</c:v>
                </c:pt>
              </c:numCache>
            </c:numRef>
          </c:val>
          <c:smooth val="0"/>
        </c:ser>
        <c:dLbls>
          <c:showLegendKey val="0"/>
          <c:showVal val="1"/>
          <c:showCatName val="0"/>
          <c:showSerName val="0"/>
          <c:showPercent val="0"/>
          <c:showBubbleSize val="0"/>
        </c:dLbls>
        <c:marker val="1"/>
        <c:smooth val="0"/>
        <c:axId val="199048704"/>
        <c:axId val="173864576"/>
      </c:lineChart>
      <c:catAx>
        <c:axId val="199048704"/>
        <c:scaling>
          <c:orientation val="minMax"/>
        </c:scaling>
        <c:delete val="0"/>
        <c:axPos val="b"/>
        <c:title>
          <c:tx>
            <c:rich>
              <a:bodyPr/>
              <a:lstStyle/>
              <a:p>
                <a:pPr>
                  <a:defRPr/>
                </a:pPr>
                <a:r>
                  <a:rPr lang="en-US"/>
                  <a:t>Test Points</a:t>
                </a:r>
              </a:p>
            </c:rich>
          </c:tx>
          <c:layout/>
          <c:overlay val="0"/>
        </c:title>
        <c:numFmt formatCode="General" sourceLinked="1"/>
        <c:majorTickMark val="none"/>
        <c:minorTickMark val="none"/>
        <c:tickLblPos val="low"/>
        <c:txPr>
          <a:bodyPr rot="-2700000"/>
          <a:lstStyle/>
          <a:p>
            <a:pPr>
              <a:defRPr/>
            </a:pPr>
            <a:endParaRPr lang="en-US"/>
          </a:p>
        </c:txPr>
        <c:crossAx val="173864576"/>
        <c:crossesAt val="0"/>
        <c:auto val="1"/>
        <c:lblAlgn val="ctr"/>
        <c:lblOffset val="100"/>
        <c:noMultiLvlLbl val="0"/>
      </c:catAx>
      <c:valAx>
        <c:axId val="173864576"/>
        <c:scaling>
          <c:orientation val="minMax"/>
        </c:scaling>
        <c:delete val="0"/>
        <c:axPos val="l"/>
        <c:majorGridlines/>
        <c:title>
          <c:tx>
            <c:rich>
              <a:bodyPr/>
              <a:lstStyle/>
              <a:p>
                <a:pPr>
                  <a:defRPr/>
                </a:pPr>
                <a:r>
                  <a:rPr lang="en-US"/>
                  <a:t>%</a:t>
                </a:r>
                <a:r>
                  <a:rPr lang="en-US" baseline="0"/>
                  <a:t> Error</a:t>
                </a:r>
                <a:endParaRPr lang="en-US"/>
              </a:p>
            </c:rich>
          </c:tx>
          <c:layout/>
          <c:overlay val="0"/>
        </c:title>
        <c:numFmt formatCode="0.00%" sourceLinked="1"/>
        <c:majorTickMark val="none"/>
        <c:minorTickMark val="none"/>
        <c:tickLblPos val="nextTo"/>
        <c:crossAx val="199048704"/>
        <c:crosses val="autoZero"/>
        <c:crossBetween val="between"/>
      </c:valAx>
    </c:plotArea>
    <c:legend>
      <c:legendPos val="r"/>
      <c:legendEntry>
        <c:idx val="2"/>
        <c:delete val="1"/>
      </c:legendEntry>
      <c:legendEntry>
        <c:idx val="3"/>
        <c:delete val="1"/>
      </c:legendEntry>
      <c:layout/>
      <c:overlay val="0"/>
    </c:legend>
    <c:plotVisOnly val="1"/>
    <c:dispBlanksAs val="gap"/>
    <c:showDLblsOverMax val="0"/>
  </c:chart>
  <c:printSettings>
    <c:headerFooter/>
    <c:pageMargins b="0.75" l="0.7" r="0.7" t="0.75" header="0.3" footer="0.3"/>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xdr:from>
      <xdr:col>1</xdr:col>
      <xdr:colOff>133349</xdr:colOff>
      <xdr:row>102</xdr:row>
      <xdr:rowOff>161925</xdr:rowOff>
    </xdr:from>
    <xdr:to>
      <xdr:col>13</xdr:col>
      <xdr:colOff>666750</xdr:colOff>
      <xdr:row>118</xdr:row>
      <xdr:rowOff>66675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133349</xdr:colOff>
      <xdr:row>154</xdr:row>
      <xdr:rowOff>161925</xdr:rowOff>
    </xdr:from>
    <xdr:to>
      <xdr:col>13</xdr:col>
      <xdr:colOff>666750</xdr:colOff>
      <xdr:row>170</xdr:row>
      <xdr:rowOff>66675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11</xdr:col>
      <xdr:colOff>361950</xdr:colOff>
      <xdr:row>12</xdr:row>
      <xdr:rowOff>390525</xdr:rowOff>
    </xdr:from>
    <xdr:ext cx="914400" cy="264560"/>
    <xdr:sp macro="" textlink="">
      <xdr:nvSpPr>
        <xdr:cNvPr id="3" name="TextBox 2"/>
        <xdr:cNvSpPr txBox="1"/>
      </xdr:nvSpPr>
      <xdr:spPr>
        <a:xfrm>
          <a:off x="7086600" y="286702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latlong.net/convert-address-to-lat-long.html"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230"/>
  <sheetViews>
    <sheetView tabSelected="1" zoomScaleNormal="100" zoomScaleSheetLayoutView="85" workbookViewId="0">
      <pane xSplit="1" ySplit="2" topLeftCell="B3" activePane="bottomRight" state="frozenSplit"/>
      <selection pane="topRight" activeCell="B1" sqref="B1"/>
      <selection pane="bottomLeft" activeCell="A3" sqref="A3"/>
      <selection pane="bottomRight" activeCell="L5" sqref="L5:N5"/>
    </sheetView>
  </sheetViews>
  <sheetFormatPr defaultRowHeight="15" x14ac:dyDescent="0.25"/>
  <cols>
    <col min="1" max="1" width="2.140625" style="276" bestFit="1" customWidth="1"/>
    <col min="2" max="3" width="9.28515625" bestFit="1" customWidth="1"/>
    <col min="4" max="4" width="9.42578125" bestFit="1" customWidth="1"/>
    <col min="5" max="5" width="10.140625" customWidth="1"/>
    <col min="6" max="7" width="9.42578125" bestFit="1" customWidth="1"/>
    <col min="8" max="8" width="11.42578125" bestFit="1" customWidth="1"/>
    <col min="9" max="10" width="10.42578125" bestFit="1" customWidth="1"/>
    <col min="11" max="11" width="9.42578125" bestFit="1" customWidth="1"/>
    <col min="12" max="12" width="9.28515625" style="14" bestFit="1" customWidth="1"/>
    <col min="13" max="13" width="10" style="14" customWidth="1"/>
    <col min="14" max="14" width="11.7109375" style="14" customWidth="1"/>
    <col min="15" max="15" width="9" style="16" customWidth="1"/>
    <col min="16" max="16" width="10.42578125" style="16" customWidth="1"/>
    <col min="17" max="17" width="12.28515625" style="16" customWidth="1"/>
    <col min="18" max="18" width="11.28515625" style="16" customWidth="1"/>
    <col min="19" max="22" width="9.140625" style="16"/>
    <col min="23" max="24" width="9.140625" style="36"/>
    <col min="25" max="25" width="11.5703125" style="16" bestFit="1" customWidth="1"/>
    <col min="26" max="26" width="11.7109375" style="16" bestFit="1" customWidth="1"/>
    <col min="27" max="27" width="11.5703125" style="16" bestFit="1" customWidth="1"/>
    <col min="28" max="28" width="12" bestFit="1" customWidth="1"/>
    <col min="29" max="41" width="11.28515625" style="14" customWidth="1"/>
    <col min="42" max="43" width="11.5703125" bestFit="1" customWidth="1"/>
    <col min="44" max="44" width="10.5703125" bestFit="1" customWidth="1"/>
    <col min="46" max="46" width="10" bestFit="1" customWidth="1"/>
    <col min="47" max="47" width="11.7109375" bestFit="1" customWidth="1"/>
    <col min="50" max="54" width="9.140625" style="96"/>
    <col min="58" max="59" width="17.85546875" bestFit="1" customWidth="1"/>
  </cols>
  <sheetData>
    <row r="1" spans="1:54" s="14" customFormat="1" x14ac:dyDescent="0.25">
      <c r="A1" s="280"/>
      <c r="B1" s="377" t="s">
        <v>423</v>
      </c>
      <c r="C1" s="378"/>
      <c r="D1" s="378"/>
      <c r="E1" s="378"/>
      <c r="F1" s="378"/>
      <c r="G1" s="378"/>
      <c r="H1" s="378"/>
      <c r="I1" s="378"/>
      <c r="J1" s="378"/>
      <c r="K1" s="378"/>
      <c r="L1" s="281"/>
      <c r="M1" s="281"/>
      <c r="N1" s="282"/>
      <c r="O1" s="379" t="s">
        <v>232</v>
      </c>
      <c r="P1" s="380"/>
      <c r="Q1" s="380"/>
      <c r="R1" s="380"/>
      <c r="S1" s="380"/>
      <c r="T1" s="380"/>
      <c r="U1" s="380"/>
      <c r="V1" s="381"/>
      <c r="W1" s="155"/>
      <c r="X1" s="155"/>
      <c r="Y1" s="124"/>
      <c r="Z1" s="124"/>
      <c r="AA1" s="16"/>
      <c r="AX1" s="96"/>
      <c r="AY1" s="96"/>
      <c r="AZ1" s="96"/>
      <c r="BA1" s="96"/>
      <c r="BB1" s="96"/>
    </row>
    <row r="2" spans="1:54" s="274" customFormat="1" ht="15.75" thickBot="1" x14ac:dyDescent="0.3">
      <c r="A2" s="269"/>
      <c r="B2" s="393" t="s">
        <v>425</v>
      </c>
      <c r="C2" s="394"/>
      <c r="D2" s="394"/>
      <c r="E2" s="394"/>
      <c r="F2" s="394"/>
      <c r="G2" s="394"/>
      <c r="H2" s="394"/>
      <c r="I2" s="394"/>
      <c r="J2" s="394"/>
      <c r="K2" s="394"/>
      <c r="L2" s="270"/>
      <c r="M2" s="270"/>
      <c r="N2" s="283"/>
      <c r="O2" s="284"/>
      <c r="P2" s="271"/>
      <c r="Q2" s="271"/>
      <c r="R2" s="271"/>
      <c r="S2" s="271"/>
      <c r="T2" s="271"/>
      <c r="U2" s="271"/>
      <c r="V2" s="285"/>
      <c r="W2" s="272"/>
      <c r="X2" s="272"/>
      <c r="Y2" s="273"/>
      <c r="Z2" s="273"/>
      <c r="AX2" s="275"/>
      <c r="AY2" s="275"/>
      <c r="AZ2" s="275"/>
      <c r="BA2" s="275"/>
      <c r="BB2" s="275"/>
    </row>
    <row r="3" spans="1:54" x14ac:dyDescent="0.25">
      <c r="A3" s="277" t="s">
        <v>424</v>
      </c>
      <c r="B3" s="366" t="s">
        <v>197</v>
      </c>
      <c r="C3" s="366"/>
      <c r="D3" s="366"/>
      <c r="E3" s="366"/>
      <c r="F3" s="68"/>
      <c r="G3" s="68"/>
      <c r="H3" s="68"/>
      <c r="K3" s="69" t="s">
        <v>0</v>
      </c>
      <c r="L3" s="385">
        <v>1</v>
      </c>
      <c r="M3" s="385"/>
      <c r="N3" s="385"/>
    </row>
    <row r="4" spans="1:54" x14ac:dyDescent="0.25">
      <c r="A4" s="278" t="s">
        <v>424</v>
      </c>
      <c r="B4" s="364" t="s">
        <v>198</v>
      </c>
      <c r="C4" s="364"/>
      <c r="D4" s="364"/>
      <c r="E4" s="364"/>
      <c r="F4" s="68"/>
      <c r="G4" s="68"/>
      <c r="H4" s="68"/>
      <c r="K4" s="69" t="s">
        <v>1</v>
      </c>
      <c r="L4" s="369"/>
      <c r="M4" s="369"/>
      <c r="N4" s="369"/>
    </row>
    <row r="5" spans="1:54" x14ac:dyDescent="0.25">
      <c r="A5" s="286" t="s">
        <v>424</v>
      </c>
      <c r="B5" s="364" t="s">
        <v>199</v>
      </c>
      <c r="C5" s="364"/>
      <c r="D5" s="364"/>
      <c r="E5" s="364"/>
      <c r="F5" s="68"/>
      <c r="G5" s="68"/>
      <c r="H5" s="68"/>
      <c r="K5" s="69" t="s">
        <v>2</v>
      </c>
      <c r="L5" s="369"/>
      <c r="M5" s="369"/>
      <c r="N5" s="369"/>
      <c r="Y5" s="36"/>
      <c r="Z5" s="36"/>
    </row>
    <row r="6" spans="1:54" x14ac:dyDescent="0.25">
      <c r="A6" s="278" t="s">
        <v>424</v>
      </c>
      <c r="B6" s="364" t="s">
        <v>200</v>
      </c>
      <c r="C6" s="364"/>
      <c r="D6" s="364"/>
      <c r="E6" s="364"/>
      <c r="F6" s="68"/>
      <c r="G6" s="68"/>
      <c r="H6" s="68"/>
      <c r="K6" s="69" t="s">
        <v>3</v>
      </c>
      <c r="L6" s="370">
        <v>0</v>
      </c>
      <c r="M6" s="370"/>
      <c r="N6" s="370"/>
      <c r="Y6" s="36"/>
      <c r="Z6" s="36"/>
    </row>
    <row r="7" spans="1:54" x14ac:dyDescent="0.25">
      <c r="A7" s="278" t="s">
        <v>424</v>
      </c>
      <c r="B7" s="364" t="s">
        <v>201</v>
      </c>
      <c r="C7" s="364"/>
      <c r="D7" s="364"/>
      <c r="E7" s="364"/>
      <c r="F7" s="68"/>
      <c r="G7" s="68"/>
      <c r="H7" s="68"/>
      <c r="K7" s="69" t="s">
        <v>192</v>
      </c>
      <c r="L7" s="369">
        <v>9.8035510000000006</v>
      </c>
      <c r="M7" s="369"/>
      <c r="N7" s="369"/>
      <c r="O7" s="55" t="s">
        <v>194</v>
      </c>
      <c r="P7" s="56"/>
      <c r="Q7" s="57"/>
      <c r="R7" s="57"/>
      <c r="S7" s="57"/>
      <c r="T7" s="57"/>
      <c r="U7" s="57"/>
      <c r="V7" s="58"/>
      <c r="W7" s="156"/>
      <c r="X7" s="156"/>
      <c r="Y7" s="37"/>
      <c r="Z7" s="37"/>
    </row>
    <row r="8" spans="1:54" x14ac:dyDescent="0.25">
      <c r="A8" s="278" t="s">
        <v>424</v>
      </c>
      <c r="B8" s="70" t="s">
        <v>251</v>
      </c>
      <c r="D8" s="364" t="s">
        <v>202</v>
      </c>
      <c r="E8" s="364"/>
      <c r="F8" s="364"/>
      <c r="G8" s="68"/>
      <c r="H8" s="68"/>
      <c r="K8" s="69" t="s">
        <v>4</v>
      </c>
      <c r="L8" s="371">
        <v>1</v>
      </c>
      <c r="M8" s="371"/>
      <c r="N8" s="371"/>
      <c r="O8" s="59"/>
      <c r="P8" s="60" t="s">
        <v>195</v>
      </c>
      <c r="Q8" s="61"/>
      <c r="R8" s="62" t="s">
        <v>191</v>
      </c>
      <c r="S8" s="61"/>
      <c r="T8" s="61"/>
      <c r="U8" s="61"/>
      <c r="V8" s="63"/>
      <c r="W8" s="156"/>
      <c r="X8" s="156"/>
      <c r="Y8" s="37"/>
      <c r="Z8" s="37"/>
    </row>
    <row r="9" spans="1:54" s="14" customFormat="1" x14ac:dyDescent="0.25">
      <c r="A9" s="278" t="s">
        <v>424</v>
      </c>
      <c r="B9" s="70" t="s">
        <v>250</v>
      </c>
      <c r="C9" s="86"/>
      <c r="D9" s="364" t="s">
        <v>203</v>
      </c>
      <c r="E9" s="364"/>
      <c r="F9" s="364"/>
      <c r="H9" s="68"/>
      <c r="I9" s="68"/>
      <c r="K9" s="68"/>
      <c r="L9" s="68"/>
      <c r="M9" s="68"/>
      <c r="N9" s="68"/>
      <c r="O9" s="59"/>
      <c r="P9" s="64" t="s">
        <v>196</v>
      </c>
      <c r="Q9" s="65"/>
      <c r="R9" s="66" t="s">
        <v>193</v>
      </c>
      <c r="S9" s="65"/>
      <c r="T9" s="65"/>
      <c r="U9" s="65"/>
      <c r="V9" s="67"/>
      <c r="W9" s="156"/>
      <c r="X9" s="156"/>
      <c r="Y9" s="37"/>
      <c r="Z9" s="37"/>
      <c r="AA9" s="16"/>
      <c r="AX9" s="96"/>
      <c r="AY9" s="96"/>
      <c r="AZ9" s="96"/>
      <c r="BA9" s="96"/>
      <c r="BB9" s="96"/>
    </row>
    <row r="10" spans="1:54" s="14" customFormat="1" x14ac:dyDescent="0.25">
      <c r="A10" s="276"/>
      <c r="H10" s="68"/>
      <c r="O10" s="59"/>
      <c r="W10" s="96"/>
      <c r="X10" s="96"/>
      <c r="Y10" s="37"/>
      <c r="Z10" s="37"/>
      <c r="AA10" s="16"/>
      <c r="AX10" s="96"/>
      <c r="AY10" s="96"/>
      <c r="AZ10" s="96"/>
      <c r="BA10" s="96"/>
      <c r="BB10" s="96"/>
    </row>
    <row r="11" spans="1:54" s="14" customFormat="1" x14ac:dyDescent="0.25">
      <c r="A11" s="276"/>
      <c r="B11" s="68"/>
      <c r="C11" s="68"/>
      <c r="G11" s="68"/>
      <c r="H11" s="68"/>
      <c r="I11" s="69"/>
      <c r="J11" s="71"/>
      <c r="K11" s="71"/>
      <c r="L11" s="68"/>
      <c r="M11" s="68"/>
      <c r="N11" s="68"/>
      <c r="O11" s="59"/>
      <c r="W11" s="96"/>
      <c r="X11" s="96"/>
      <c r="Y11" s="37"/>
      <c r="Z11" s="37"/>
      <c r="AA11" s="16"/>
      <c r="AX11" s="96"/>
      <c r="AY11" s="96"/>
      <c r="AZ11" s="96"/>
      <c r="BA11" s="96"/>
      <c r="BB11" s="96"/>
    </row>
    <row r="12" spans="1:54" x14ac:dyDescent="0.25">
      <c r="B12" s="365" t="s">
        <v>5</v>
      </c>
      <c r="C12" s="365"/>
      <c r="D12" s="365"/>
      <c r="E12" s="365"/>
      <c r="F12" s="365"/>
      <c r="G12" s="365"/>
      <c r="H12" s="365"/>
      <c r="I12" s="365"/>
      <c r="J12" s="365"/>
      <c r="K12" s="365"/>
      <c r="L12" s="365"/>
      <c r="M12" s="365"/>
      <c r="N12" s="72"/>
      <c r="Y12" s="36"/>
      <c r="Z12" s="36"/>
    </row>
    <row r="13" spans="1:54" ht="135" customHeight="1" x14ac:dyDescent="0.25">
      <c r="B13" s="384" t="s">
        <v>6</v>
      </c>
      <c r="C13" s="384"/>
      <c r="D13" s="384"/>
      <c r="E13" s="384"/>
      <c r="F13" s="384"/>
      <c r="G13" s="384"/>
      <c r="H13" s="384"/>
      <c r="I13" s="384"/>
      <c r="J13" s="384"/>
      <c r="K13" s="384"/>
      <c r="L13" s="384"/>
      <c r="M13" s="384"/>
      <c r="N13" s="384"/>
      <c r="Y13" s="36"/>
      <c r="Z13" s="36"/>
    </row>
    <row r="14" spans="1:54" x14ac:dyDescent="0.25">
      <c r="B14" s="85" t="s">
        <v>7</v>
      </c>
      <c r="C14" s="73"/>
      <c r="D14" s="73"/>
      <c r="E14" s="73"/>
      <c r="F14" s="73"/>
      <c r="G14" s="73"/>
      <c r="H14" s="73"/>
      <c r="I14" s="73"/>
      <c r="J14" s="73"/>
      <c r="K14" s="18"/>
      <c r="L14" s="18"/>
      <c r="M14" s="18"/>
      <c r="N14" s="18"/>
      <c r="Y14" s="36"/>
      <c r="Z14" s="36"/>
    </row>
    <row r="15" spans="1:54" x14ac:dyDescent="0.25">
      <c r="A15" s="278" t="s">
        <v>424</v>
      </c>
      <c r="B15" s="69" t="s">
        <v>8</v>
      </c>
      <c r="C15" s="75" t="s">
        <v>9</v>
      </c>
      <c r="D15" s="68"/>
      <c r="E15" s="68"/>
      <c r="F15" s="69" t="s">
        <v>10</v>
      </c>
      <c r="G15" s="375" t="s">
        <v>11</v>
      </c>
      <c r="H15" s="375"/>
      <c r="K15" s="69" t="s">
        <v>12</v>
      </c>
      <c r="L15" s="366">
        <v>0</v>
      </c>
      <c r="M15" s="366"/>
      <c r="N15" s="366"/>
      <c r="O15" s="52" t="s">
        <v>209</v>
      </c>
      <c r="P15" s="53"/>
      <c r="Q15" s="53"/>
      <c r="R15" s="53"/>
      <c r="S15" s="53"/>
      <c r="T15" s="54"/>
    </row>
    <row r="16" spans="1:54" x14ac:dyDescent="0.25">
      <c r="A16" s="278" t="s">
        <v>424</v>
      </c>
      <c r="B16" s="69" t="s">
        <v>8</v>
      </c>
      <c r="C16" s="75" t="s">
        <v>9</v>
      </c>
      <c r="D16" s="68"/>
      <c r="E16" s="68"/>
      <c r="F16" s="69" t="s">
        <v>13</v>
      </c>
      <c r="G16" s="376" t="s">
        <v>11</v>
      </c>
      <c r="H16" s="376"/>
      <c r="K16" s="69" t="s">
        <v>12</v>
      </c>
      <c r="L16" s="366">
        <v>0</v>
      </c>
      <c r="M16" s="367"/>
      <c r="N16" s="367"/>
      <c r="O16" s="52" t="s">
        <v>208</v>
      </c>
      <c r="P16" s="53"/>
      <c r="Q16" s="53"/>
      <c r="R16" s="53"/>
      <c r="S16" s="53"/>
      <c r="T16" s="54"/>
    </row>
    <row r="17" spans="1:54" x14ac:dyDescent="0.25">
      <c r="A17" s="278" t="s">
        <v>424</v>
      </c>
      <c r="B17" s="69"/>
      <c r="C17" s="68"/>
      <c r="D17" s="68"/>
      <c r="E17" s="68"/>
      <c r="F17" s="69" t="s">
        <v>14</v>
      </c>
      <c r="G17" s="376" t="s">
        <v>11</v>
      </c>
      <c r="H17" s="376"/>
      <c r="K17" s="69" t="s">
        <v>204</v>
      </c>
      <c r="L17" s="366">
        <v>0</v>
      </c>
      <c r="M17" s="367"/>
      <c r="N17" s="367"/>
      <c r="O17" s="52" t="s">
        <v>206</v>
      </c>
      <c r="P17" s="53"/>
      <c r="Q17" s="53"/>
      <c r="R17" s="53"/>
      <c r="S17" s="53"/>
      <c r="T17" s="54"/>
    </row>
    <row r="18" spans="1:54" x14ac:dyDescent="0.25">
      <c r="A18" s="278" t="s">
        <v>424</v>
      </c>
      <c r="B18" s="68"/>
      <c r="C18" s="68"/>
      <c r="D18" s="68"/>
      <c r="E18" s="68"/>
      <c r="F18" s="213" t="str">
        <f>IF($D$28="Starrett Deadweight","Display Resolution (g)","Display Resolution (N)")</f>
        <v>Display Resolution (N)</v>
      </c>
      <c r="G18" s="368"/>
      <c r="H18" s="368"/>
      <c r="K18" s="69" t="s">
        <v>205</v>
      </c>
      <c r="L18" s="366">
        <v>0</v>
      </c>
      <c r="M18" s="367"/>
      <c r="N18" s="367"/>
      <c r="O18" s="52" t="s">
        <v>207</v>
      </c>
      <c r="P18" s="53"/>
      <c r="Q18" s="53"/>
      <c r="R18" s="53"/>
      <c r="S18" s="53"/>
      <c r="T18" s="54"/>
    </row>
    <row r="19" spans="1:54" s="14" customFormat="1" x14ac:dyDescent="0.25">
      <c r="A19" s="276"/>
      <c r="B19" s="68"/>
      <c r="C19" s="68"/>
      <c r="D19" s="68"/>
      <c r="F19" s="125" t="s">
        <v>286</v>
      </c>
      <c r="G19" s="368">
        <v>0.01</v>
      </c>
      <c r="H19" s="368"/>
      <c r="K19" s="69"/>
      <c r="L19" s="68"/>
      <c r="M19" s="87"/>
      <c r="N19" s="87"/>
      <c r="O19" s="112"/>
      <c r="P19" s="112"/>
      <c r="Q19" s="112"/>
      <c r="R19" s="112"/>
      <c r="S19" s="112"/>
      <c r="T19" s="112"/>
      <c r="U19" s="16"/>
      <c r="V19" s="16"/>
      <c r="W19" s="36"/>
      <c r="X19" s="36"/>
      <c r="Y19" s="16"/>
      <c r="Z19" s="16"/>
      <c r="AA19" s="16"/>
      <c r="AX19" s="96"/>
      <c r="AY19" s="96"/>
      <c r="AZ19" s="96"/>
      <c r="BA19" s="96"/>
      <c r="BB19" s="96"/>
    </row>
    <row r="20" spans="1:54" s="14" customFormat="1" x14ac:dyDescent="0.25">
      <c r="A20" s="276"/>
      <c r="B20" s="68"/>
      <c r="C20" s="68"/>
      <c r="D20" s="68"/>
      <c r="E20" s="68"/>
      <c r="F20" s="68"/>
      <c r="G20" s="68"/>
      <c r="H20" s="68"/>
      <c r="K20" s="69"/>
      <c r="L20" s="68"/>
      <c r="M20" s="130"/>
      <c r="N20" s="130"/>
      <c r="O20" s="112"/>
      <c r="P20" s="112"/>
      <c r="Q20" s="112"/>
      <c r="R20" s="112"/>
      <c r="S20" s="112"/>
      <c r="T20" s="112"/>
      <c r="U20" s="16"/>
      <c r="V20" s="16"/>
      <c r="W20" s="36"/>
      <c r="X20" s="36"/>
      <c r="Y20" s="16"/>
      <c r="Z20" s="16"/>
      <c r="AA20" s="16"/>
      <c r="AX20" s="96"/>
      <c r="AY20" s="96"/>
      <c r="AZ20" s="96"/>
      <c r="BA20" s="96"/>
      <c r="BB20" s="96"/>
    </row>
    <row r="21" spans="1:54" x14ac:dyDescent="0.25">
      <c r="B21" s="75" t="s">
        <v>15</v>
      </c>
      <c r="C21" s="68"/>
      <c r="D21" s="68"/>
      <c r="E21" s="68"/>
      <c r="F21" s="68"/>
      <c r="G21" s="68"/>
      <c r="H21" s="68"/>
      <c r="I21" s="76" t="str">
        <f>IF(MAX(F65:F66)&lt;H27,"YES","NO")</f>
        <v>YES</v>
      </c>
      <c r="L21" s="68"/>
      <c r="M21" s="68"/>
      <c r="N21" s="68"/>
      <c r="O21" s="38" t="s">
        <v>254</v>
      </c>
      <c r="P21" s="39"/>
      <c r="Q21" s="39"/>
      <c r="R21" s="39"/>
      <c r="S21" s="39"/>
      <c r="T21" s="40"/>
    </row>
    <row r="22" spans="1:54" x14ac:dyDescent="0.25">
      <c r="B22" s="75" t="s">
        <v>16</v>
      </c>
      <c r="C22" s="68"/>
      <c r="D22" s="68"/>
      <c r="E22" s="68"/>
      <c r="F22" s="68"/>
      <c r="G22" s="68"/>
      <c r="H22" s="68"/>
      <c r="I22" s="68"/>
      <c r="L22" s="68"/>
      <c r="M22" s="68"/>
      <c r="N22" s="68"/>
      <c r="O22" s="41" t="s">
        <v>278</v>
      </c>
      <c r="P22" s="35"/>
      <c r="Q22" s="35"/>
      <c r="R22" s="35"/>
      <c r="S22" s="35"/>
      <c r="T22" s="42"/>
    </row>
    <row r="23" spans="1:54" x14ac:dyDescent="0.25">
      <c r="B23" s="75" t="s">
        <v>17</v>
      </c>
      <c r="C23" s="68"/>
      <c r="D23" s="68"/>
      <c r="E23" s="68"/>
      <c r="F23" s="68"/>
      <c r="G23" s="68"/>
      <c r="H23" s="68"/>
      <c r="I23" s="76" t="str">
        <f>IF(MAX(H65:H66)&lt;H27,"YES","NO")</f>
        <v>YES</v>
      </c>
      <c r="L23" s="68"/>
      <c r="M23" s="68"/>
      <c r="N23" s="68"/>
      <c r="O23" s="41" t="s">
        <v>255</v>
      </c>
      <c r="P23" s="35"/>
      <c r="Q23" s="35"/>
      <c r="R23" s="35"/>
      <c r="S23" s="35"/>
      <c r="T23" s="42"/>
    </row>
    <row r="24" spans="1:54" x14ac:dyDescent="0.25">
      <c r="B24" s="75" t="s">
        <v>16</v>
      </c>
      <c r="C24" s="68"/>
      <c r="D24" s="68"/>
      <c r="E24" s="68"/>
      <c r="F24" s="68"/>
      <c r="G24" s="68"/>
      <c r="H24" s="68"/>
      <c r="I24" s="68"/>
      <c r="L24" s="68"/>
      <c r="M24" s="68"/>
      <c r="N24" s="68"/>
      <c r="O24" s="43" t="s">
        <v>371</v>
      </c>
      <c r="P24" s="44"/>
      <c r="Q24" s="44"/>
      <c r="R24" s="44"/>
      <c r="S24" s="44"/>
      <c r="T24" s="45"/>
    </row>
    <row r="25" spans="1:54" x14ac:dyDescent="0.25">
      <c r="B25" s="75" t="s">
        <v>18</v>
      </c>
      <c r="C25" s="68"/>
      <c r="D25" s="68"/>
      <c r="E25" s="68"/>
      <c r="F25" s="68"/>
      <c r="G25" s="68"/>
      <c r="H25" s="68"/>
      <c r="I25" s="75" t="s">
        <v>19</v>
      </c>
      <c r="L25" s="68"/>
      <c r="M25" s="68"/>
      <c r="N25" s="68"/>
    </row>
    <row r="26" spans="1:54" x14ac:dyDescent="0.25">
      <c r="B26" s="68"/>
      <c r="C26" s="68"/>
      <c r="D26" s="68"/>
      <c r="E26" s="68"/>
      <c r="F26" s="68"/>
      <c r="G26" s="68"/>
      <c r="H26" s="68"/>
      <c r="I26" s="68"/>
      <c r="L26" s="68"/>
      <c r="M26" s="68"/>
      <c r="N26" s="68"/>
    </row>
    <row r="27" spans="1:54" x14ac:dyDescent="0.25">
      <c r="E27" s="68"/>
      <c r="F27" s="68"/>
      <c r="G27" s="69" t="s">
        <v>21</v>
      </c>
      <c r="H27" s="78">
        <v>0.01</v>
      </c>
      <c r="J27" s="68"/>
      <c r="K27" s="68"/>
      <c r="L27" s="69" t="s">
        <v>22</v>
      </c>
      <c r="M27" s="78">
        <v>0.01</v>
      </c>
      <c r="N27" s="68"/>
    </row>
    <row r="28" spans="1:54" x14ac:dyDescent="0.25">
      <c r="B28" s="75" t="s">
        <v>20</v>
      </c>
      <c r="C28" s="68"/>
      <c r="D28" s="77" t="str">
        <f>VLOOKUP(G16,'Drop Down Lists'!A41:C82,3,FALSE)</f>
        <v>Starrett Electronic</v>
      </c>
      <c r="E28" s="68"/>
      <c r="L28" s="68"/>
      <c r="M28" s="68"/>
      <c r="N28" s="68"/>
    </row>
    <row r="29" spans="1:54" x14ac:dyDescent="0.25">
      <c r="B29" s="68"/>
      <c r="C29" s="68"/>
      <c r="D29" s="68"/>
      <c r="E29" s="68"/>
      <c r="F29" s="68"/>
      <c r="G29" s="68"/>
      <c r="H29" s="68"/>
      <c r="I29" s="68"/>
      <c r="J29" s="68"/>
      <c r="K29" s="68"/>
      <c r="L29" s="68"/>
      <c r="M29" s="68"/>
      <c r="N29" s="68"/>
    </row>
    <row r="30" spans="1:54" x14ac:dyDescent="0.25">
      <c r="A30" s="278" t="s">
        <v>424</v>
      </c>
      <c r="B30" s="75" t="s">
        <v>23</v>
      </c>
      <c r="E30" s="68"/>
      <c r="F30" s="68"/>
      <c r="G30" s="68"/>
      <c r="H30" s="68"/>
      <c r="I30" s="69" t="s">
        <v>24</v>
      </c>
      <c r="J30" s="364" t="s">
        <v>210</v>
      </c>
      <c r="K30" s="364"/>
      <c r="L30" s="364"/>
      <c r="M30" s="68"/>
      <c r="N30" s="68"/>
    </row>
    <row r="31" spans="1:54" s="14" customFormat="1" x14ac:dyDescent="0.25">
      <c r="A31" s="276"/>
      <c r="B31" s="79" t="s">
        <v>25</v>
      </c>
      <c r="F31" s="68"/>
      <c r="G31" s="68"/>
      <c r="H31" s="68"/>
      <c r="I31" s="68"/>
      <c r="J31" s="68"/>
      <c r="K31" s="68"/>
      <c r="L31" s="68"/>
      <c r="M31" s="68"/>
      <c r="N31" s="68"/>
      <c r="O31" s="16"/>
      <c r="P31" s="16"/>
      <c r="Q31" s="16"/>
      <c r="R31" s="16"/>
      <c r="S31" s="16"/>
      <c r="T31" s="16"/>
      <c r="U31" s="16"/>
      <c r="V31" s="16"/>
      <c r="W31" s="36"/>
      <c r="X31" s="36"/>
      <c r="Y31" s="16"/>
      <c r="Z31" s="16"/>
      <c r="AA31" s="16"/>
      <c r="AX31" s="96"/>
      <c r="AY31" s="96"/>
      <c r="AZ31" s="96"/>
      <c r="BA31" s="96"/>
      <c r="BB31" s="96"/>
    </row>
    <row r="32" spans="1:54" s="15" customFormat="1" x14ac:dyDescent="0.25">
      <c r="A32" s="279"/>
      <c r="D32" s="80" t="s">
        <v>211</v>
      </c>
      <c r="E32" s="362" t="s">
        <v>212</v>
      </c>
      <c r="F32" s="363"/>
      <c r="G32" s="81" t="s">
        <v>213</v>
      </c>
      <c r="H32" s="81" t="s">
        <v>214</v>
      </c>
      <c r="I32" s="81" t="s">
        <v>215</v>
      </c>
      <c r="J32" s="81" t="s">
        <v>216</v>
      </c>
      <c r="K32" s="81" t="s">
        <v>217</v>
      </c>
      <c r="L32" s="81" t="s">
        <v>218</v>
      </c>
      <c r="M32" s="79"/>
      <c r="N32" s="79"/>
      <c r="S32" s="91"/>
      <c r="T32" s="111"/>
      <c r="U32" s="111"/>
      <c r="V32" s="84"/>
      <c r="W32" s="157"/>
      <c r="X32" s="157"/>
      <c r="AX32" s="173"/>
      <c r="AY32" s="173"/>
      <c r="AZ32" s="173"/>
      <c r="BA32" s="173"/>
      <c r="BB32" s="173"/>
    </row>
    <row r="33" spans="1:55" s="14" customFormat="1" x14ac:dyDescent="0.25">
      <c r="A33" s="276"/>
      <c r="D33" s="70" t="str">
        <f>'Calibration Standards'!A3</f>
        <v>Starrett</v>
      </c>
      <c r="E33" s="343" t="str">
        <f>'Calibration Standards'!B3</f>
        <v>F27401Q</v>
      </c>
      <c r="F33" s="344"/>
      <c r="G33" s="82" t="str">
        <f>'Calibration Standards'!C3</f>
        <v>Starrett</v>
      </c>
      <c r="H33" s="182">
        <f>'Calibration Standards'!D3</f>
        <v>43531</v>
      </c>
      <c r="I33" s="182">
        <f>'Calibration Standards'!E3</f>
        <v>43897</v>
      </c>
      <c r="J33" s="82">
        <f>'Calibration Standards'!F3</f>
        <v>131908189</v>
      </c>
      <c r="K33" s="82" t="str">
        <f>'Calibration Standards'!G3</f>
        <v>-</v>
      </c>
      <c r="L33" s="82" t="str">
        <f>'Calibration Standards'!H3</f>
        <v>mm</v>
      </c>
      <c r="M33" s="74"/>
      <c r="N33" s="74"/>
      <c r="S33" s="91"/>
      <c r="T33" s="111"/>
      <c r="U33" s="111"/>
      <c r="V33" s="84"/>
      <c r="W33" s="157"/>
      <c r="X33" s="157"/>
      <c r="AX33" s="96"/>
      <c r="AY33" s="96"/>
      <c r="AZ33" s="96"/>
      <c r="BA33" s="96"/>
      <c r="BB33" s="96"/>
    </row>
    <row r="34" spans="1:55" s="14" customFormat="1" x14ac:dyDescent="0.25">
      <c r="A34" s="276"/>
      <c r="D34" s="169" t="str">
        <f>'Calibration Standards'!A4</f>
        <v>Extech</v>
      </c>
      <c r="E34" s="343">
        <f>'Calibration Standards'!B4</f>
        <v>445580</v>
      </c>
      <c r="F34" s="344"/>
      <c r="G34" s="170" t="str">
        <f>'Calibration Standards'!C4</f>
        <v>Essco</v>
      </c>
      <c r="H34" s="182">
        <f>'Calibration Standards'!D4</f>
        <v>43558</v>
      </c>
      <c r="I34" s="182">
        <f>'Calibration Standards'!E4</f>
        <v>43924</v>
      </c>
      <c r="J34" s="170" t="str">
        <f>'Calibration Standards'!F4</f>
        <v>Z233336</v>
      </c>
      <c r="K34" s="170" t="str">
        <f>'Calibration Standards'!G4</f>
        <v>-</v>
      </c>
      <c r="L34" s="170" t="str">
        <f>'Calibration Standards'!H4</f>
        <v>F</v>
      </c>
      <c r="M34" s="68"/>
      <c r="N34" s="68"/>
      <c r="U34" s="84"/>
      <c r="V34" s="84"/>
      <c r="W34" s="157"/>
      <c r="X34" s="157"/>
      <c r="AX34" s="96"/>
      <c r="AY34" s="96"/>
      <c r="AZ34" s="96"/>
      <c r="BA34" s="96"/>
      <c r="BB34" s="96"/>
    </row>
    <row r="35" spans="1:55" s="14" customFormat="1" x14ac:dyDescent="0.25">
      <c r="A35" s="276"/>
      <c r="D35" s="169" t="str">
        <f>'Calibration Standards'!A5</f>
        <v>Extech</v>
      </c>
      <c r="E35" s="343">
        <f>'Calibration Standards'!B5</f>
        <v>445580</v>
      </c>
      <c r="F35" s="344"/>
      <c r="G35" s="170" t="str">
        <f>'Calibration Standards'!C5</f>
        <v>Essco</v>
      </c>
      <c r="H35" s="182">
        <f>'Calibration Standards'!D5</f>
        <v>43558</v>
      </c>
      <c r="I35" s="182">
        <f>'Calibration Standards'!E5</f>
        <v>43924</v>
      </c>
      <c r="J35" s="170" t="str">
        <f>'Calibration Standards'!F5</f>
        <v>Z233336</v>
      </c>
      <c r="K35" s="170" t="str">
        <f>'Calibration Standards'!G5</f>
        <v>-</v>
      </c>
      <c r="L35" s="170" t="str">
        <f>'Calibration Standards'!H5</f>
        <v>%</v>
      </c>
      <c r="M35" s="68"/>
      <c r="N35" s="68"/>
      <c r="S35" s="91"/>
      <c r="T35" s="84"/>
      <c r="U35" s="84"/>
      <c r="V35" s="84"/>
      <c r="W35" s="157"/>
      <c r="X35" s="157"/>
      <c r="AX35" s="96"/>
      <c r="AY35" s="96"/>
      <c r="AZ35" s="96"/>
      <c r="BA35" s="96"/>
      <c r="BB35" s="96"/>
    </row>
    <row r="36" spans="1:55" s="14" customFormat="1" x14ac:dyDescent="0.25">
      <c r="A36" s="276"/>
      <c r="D36" s="70" t="str">
        <f>VLOOKUP(E36,'Calibration Standards'!B7:C12,2,FALSE)</f>
        <v>-</v>
      </c>
      <c r="E36" s="343" t="s">
        <v>113</v>
      </c>
      <c r="F36" s="344"/>
      <c r="G36" s="82" t="str">
        <f>VLOOKUP($E$36,'Calibration Standards'!$B$7:$L$23,2,FALSE)</f>
        <v>-</v>
      </c>
      <c r="H36" s="171" t="str">
        <f>VLOOKUP($E$36,'Calibration Standards'!$B$7:$L$23,3,FALSE)</f>
        <v>-</v>
      </c>
      <c r="I36" s="171" t="str">
        <f>VLOOKUP($E$36,'Calibration Standards'!$B$7:$L$23,4,FALSE)</f>
        <v>-</v>
      </c>
      <c r="J36" s="82" t="str">
        <f>VLOOKUP($E$36,'Calibration Standards'!$B$7:$L$23,5,FALSE)</f>
        <v>-</v>
      </c>
      <c r="K36" s="82" t="str">
        <f>VLOOKUP($E$36,'Calibration Standards'!$B$7:$L$23,6,FALSE)</f>
        <v>-</v>
      </c>
      <c r="L36" s="82" t="str">
        <f>VLOOKUP($E$36,'Calibration Standards'!$B$7:$L$23,7,FALSE)</f>
        <v>-</v>
      </c>
      <c r="M36" s="68"/>
      <c r="N36" s="68"/>
      <c r="O36" s="331" t="s">
        <v>344</v>
      </c>
      <c r="P36" s="332"/>
      <c r="Q36" s="332"/>
      <c r="R36" s="332"/>
      <c r="S36" s="332"/>
      <c r="T36" s="333"/>
      <c r="U36" s="84"/>
      <c r="V36" s="84"/>
      <c r="W36" s="157"/>
      <c r="X36" s="157"/>
      <c r="AX36" s="96"/>
      <c r="AY36" s="96"/>
      <c r="AZ36" s="96"/>
      <c r="BA36" s="96"/>
      <c r="BB36" s="96"/>
    </row>
    <row r="37" spans="1:55" s="14" customFormat="1" x14ac:dyDescent="0.25">
      <c r="A37" s="276"/>
      <c r="D37" s="169" t="str">
        <f>IF($E$36="Deadweights",'Calibration Standards'!A13,'Calibration Standards'!A6)</f>
        <v>Interface</v>
      </c>
      <c r="E37" s="343" t="str">
        <f>IF($E$36="Deadweights",'Calibration Standards'!B13,'Calibration Standards'!B6)</f>
        <v>9840-200-1</v>
      </c>
      <c r="F37" s="344"/>
      <c r="G37" s="170" t="str">
        <f>IF($E$36="Deadweights",'Calibration Standards'!C13,'Calibration Standards'!C6)</f>
        <v>Interface</v>
      </c>
      <c r="H37" s="182">
        <f>IF($E$36="Deadweights",'Calibration Standards'!D13,'Calibration Standards'!D6)</f>
        <v>43588</v>
      </c>
      <c r="I37" s="182">
        <f>IF($E$36="Deadweights",'Calibration Standards'!E13,'Calibration Standards'!E6)</f>
        <v>44228</v>
      </c>
      <c r="J37" s="170">
        <f>IF($E$36="Deadweights",'Calibration Standards'!F13,'Calibration Standards'!F6)</f>
        <v>20254</v>
      </c>
      <c r="K37" s="170" t="str">
        <f>IF($E$36="Deadweights",'Calibration Standards'!G13,'Calibration Standards'!G6)</f>
        <v>-</v>
      </c>
      <c r="L37" s="170" t="str">
        <f>IF($E$36="Deadweights",'Calibration Standards'!H13,'Calibration Standards'!H6)</f>
        <v>-</v>
      </c>
      <c r="M37" s="68"/>
      <c r="N37" s="68"/>
      <c r="O37" s="334"/>
      <c r="P37" s="335"/>
      <c r="Q37" s="335"/>
      <c r="R37" s="335"/>
      <c r="S37" s="335"/>
      <c r="T37" s="336"/>
      <c r="U37" s="111"/>
      <c r="V37" s="84"/>
      <c r="W37" s="157"/>
      <c r="X37" s="157"/>
      <c r="AX37" s="96"/>
      <c r="AY37" s="96"/>
      <c r="AZ37" s="96"/>
      <c r="BA37" s="96"/>
      <c r="BB37" s="96"/>
    </row>
    <row r="38" spans="1:55" s="14" customFormat="1" x14ac:dyDescent="0.25">
      <c r="A38" s="276"/>
      <c r="D38" s="169" t="str">
        <f>IF($E$36="Deadweights",'Calibration Standards'!A14,"-")</f>
        <v>-</v>
      </c>
      <c r="E38" s="343" t="str">
        <f>IF($E$36="Deadweights",'Calibration Standards'!B14,"-")</f>
        <v>-</v>
      </c>
      <c r="F38" s="344"/>
      <c r="G38" s="170" t="str">
        <f>IF($E$36="Deadweights",'Calibration Standards'!C14,"-")</f>
        <v>-</v>
      </c>
      <c r="H38" s="182" t="str">
        <f>IF($E$36="Deadweights",'Calibration Standards'!D14,"-")</f>
        <v>-</v>
      </c>
      <c r="I38" s="182" t="str">
        <f>IF($E$36="Deadweights",'Calibration Standards'!E14,"-")</f>
        <v>-</v>
      </c>
      <c r="J38" s="170" t="str">
        <f>IF($E$36="Deadweights",'Calibration Standards'!F14,"-")</f>
        <v>-</v>
      </c>
      <c r="K38" s="170" t="str">
        <f>IF($E$36="Deadweights",'Calibration Standards'!G14,"-")</f>
        <v>-</v>
      </c>
      <c r="L38" s="170" t="str">
        <f>IF($E$36="Deadweights",'Calibration Standards'!H14,"-")</f>
        <v>-</v>
      </c>
      <c r="M38" s="68"/>
      <c r="N38" s="68"/>
      <c r="O38" s="337"/>
      <c r="P38" s="338"/>
      <c r="Q38" s="338"/>
      <c r="R38" s="338"/>
      <c r="S38" s="338"/>
      <c r="T38" s="339"/>
      <c r="U38" s="111"/>
      <c r="V38" s="84"/>
      <c r="W38" s="157"/>
      <c r="X38" s="157"/>
      <c r="AX38" s="96"/>
      <c r="AY38" s="96"/>
      <c r="AZ38" s="96"/>
      <c r="BA38" s="96"/>
      <c r="BB38" s="96"/>
    </row>
    <row r="39" spans="1:55" s="14" customFormat="1" x14ac:dyDescent="0.25">
      <c r="A39" s="276"/>
      <c r="D39" s="169" t="str">
        <f>IF($E$36="Deadweights",'Calibration Standards'!A15,"-")</f>
        <v>-</v>
      </c>
      <c r="E39" s="343" t="str">
        <f>IF($E$36="Deadweights",'Calibration Standards'!B15,"-")</f>
        <v>-</v>
      </c>
      <c r="F39" s="344"/>
      <c r="G39" s="170" t="str">
        <f>IF($E$36="Deadweights",'Calibration Standards'!C15,"-")</f>
        <v>-</v>
      </c>
      <c r="H39" s="182" t="str">
        <f>IF($E$36="Deadweights",'Calibration Standards'!D15,"-")</f>
        <v>-</v>
      </c>
      <c r="I39" s="182" t="str">
        <f>IF($E$36="Deadweights",'Calibration Standards'!E15,"-")</f>
        <v>-</v>
      </c>
      <c r="J39" s="170" t="str">
        <f>IF($E$36="Deadweights",'Calibration Standards'!F15,"-")</f>
        <v>-</v>
      </c>
      <c r="K39" s="170" t="str">
        <f>IF($E$36="Deadweights",'Calibration Standards'!G15,"-")</f>
        <v>-</v>
      </c>
      <c r="L39" s="170" t="str">
        <f>IF($E$36="Deadweights",'Calibration Standards'!H15,"-")</f>
        <v>-</v>
      </c>
      <c r="M39" s="68"/>
      <c r="N39" s="68"/>
      <c r="S39" s="91"/>
      <c r="T39" s="111"/>
      <c r="U39" s="111"/>
      <c r="V39" s="84"/>
      <c r="W39" s="157"/>
      <c r="X39" s="157"/>
      <c r="Y39" s="91"/>
      <c r="Z39" s="345"/>
      <c r="AA39" s="345"/>
      <c r="AB39" s="84"/>
      <c r="AC39" s="188"/>
      <c r="AD39" s="188"/>
      <c r="AE39" s="188"/>
      <c r="AF39" s="188"/>
      <c r="AG39" s="188"/>
      <c r="AH39" s="188"/>
      <c r="AI39" s="188"/>
      <c r="AJ39" s="188"/>
      <c r="AK39" s="188"/>
      <c r="AL39" s="188"/>
      <c r="AM39" s="188"/>
      <c r="AN39" s="181"/>
      <c r="AO39" s="181"/>
      <c r="AP39" s="84"/>
      <c r="AQ39" s="84"/>
      <c r="AR39" s="84"/>
      <c r="AS39" s="84"/>
      <c r="AT39" s="84"/>
      <c r="AU39" s="95"/>
      <c r="AV39" s="95"/>
      <c r="AW39" s="95"/>
      <c r="AX39" s="174"/>
      <c r="AY39" s="174"/>
      <c r="AZ39" s="174"/>
      <c r="BA39" s="174"/>
      <c r="BB39" s="174"/>
      <c r="BC39" s="16"/>
    </row>
    <row r="40" spans="1:55" s="14" customFormat="1" x14ac:dyDescent="0.25">
      <c r="A40" s="276"/>
      <c r="B40" s="70"/>
      <c r="C40" s="83"/>
      <c r="D40" s="169" t="str">
        <f>IF($E$36="Deadweights",'Calibration Standards'!A16,"-")</f>
        <v>-</v>
      </c>
      <c r="E40" s="343" t="str">
        <f>IF($E$36="Deadweights",'Calibration Standards'!B16,"-")</f>
        <v>-</v>
      </c>
      <c r="F40" s="344"/>
      <c r="G40" s="170" t="str">
        <f>IF($E$36="Deadweights",'Calibration Standards'!C16,"-")</f>
        <v>-</v>
      </c>
      <c r="H40" s="182" t="str">
        <f>IF($E$36="Deadweights",'Calibration Standards'!D16,"-")</f>
        <v>-</v>
      </c>
      <c r="I40" s="182" t="str">
        <f>IF($E$36="Deadweights",'Calibration Standards'!E16,"-")</f>
        <v>-</v>
      </c>
      <c r="J40" s="170" t="str">
        <f>IF($E$36="Deadweights",'Calibration Standards'!F16,"-")</f>
        <v>-</v>
      </c>
      <c r="K40" s="170" t="str">
        <f>IF($E$36="Deadweights",'Calibration Standards'!G16,"-")</f>
        <v>-</v>
      </c>
      <c r="L40" s="170" t="str">
        <f>IF($E$36="Deadweights",'Calibration Standards'!H16,"-")</f>
        <v>-</v>
      </c>
      <c r="M40" s="68"/>
      <c r="N40" s="68"/>
      <c r="O40" s="16"/>
      <c r="P40" s="16"/>
      <c r="Q40" s="16"/>
      <c r="R40" s="16"/>
      <c r="S40" s="91"/>
      <c r="T40" s="111"/>
      <c r="U40" s="111"/>
      <c r="V40" s="84"/>
      <c r="W40" s="157"/>
      <c r="X40" s="157"/>
      <c r="Y40" s="91"/>
      <c r="Z40" s="345"/>
      <c r="AA40" s="345"/>
      <c r="AB40" s="84"/>
      <c r="AC40" s="188"/>
      <c r="AD40" s="188"/>
      <c r="AE40" s="188"/>
      <c r="AF40" s="188"/>
      <c r="AG40" s="188"/>
      <c r="AH40" s="188"/>
      <c r="AI40" s="188"/>
      <c r="AJ40" s="188"/>
      <c r="AK40" s="188"/>
      <c r="AL40" s="188"/>
      <c r="AM40" s="188"/>
      <c r="AN40" s="181"/>
      <c r="AO40" s="181"/>
      <c r="AP40" s="84"/>
      <c r="AQ40" s="84"/>
      <c r="AR40" s="84"/>
      <c r="AS40" s="84"/>
      <c r="AT40" s="84"/>
      <c r="AU40" s="95"/>
      <c r="AV40" s="95"/>
      <c r="AW40" s="95"/>
      <c r="AX40" s="174"/>
      <c r="AY40" s="174"/>
      <c r="AZ40" s="174"/>
      <c r="BA40" s="174"/>
      <c r="BB40" s="174"/>
      <c r="BC40" s="16"/>
    </row>
    <row r="41" spans="1:55" s="14" customFormat="1" x14ac:dyDescent="0.25">
      <c r="A41" s="276"/>
      <c r="B41" s="70"/>
      <c r="C41" s="83"/>
      <c r="D41" s="169" t="str">
        <f>IF($E$36="Deadweights",'Calibration Standards'!A17,"-")</f>
        <v>-</v>
      </c>
      <c r="E41" s="343" t="str">
        <f>IF($E$36="Deadweights",'Calibration Standards'!B17,"-")</f>
        <v>-</v>
      </c>
      <c r="F41" s="344"/>
      <c r="G41" s="170" t="str">
        <f>IF($E$36="Deadweights",'Calibration Standards'!C17,"-")</f>
        <v>-</v>
      </c>
      <c r="H41" s="182" t="str">
        <f>IF($E$36="Deadweights",'Calibration Standards'!D17,"-")</f>
        <v>-</v>
      </c>
      <c r="I41" s="182" t="str">
        <f>IF($E$36="Deadweights",'Calibration Standards'!E17,"-")</f>
        <v>-</v>
      </c>
      <c r="J41" s="170" t="str">
        <f>IF($E$36="Deadweights",'Calibration Standards'!F17,"-")</f>
        <v>-</v>
      </c>
      <c r="K41" s="170" t="str">
        <f>IF($E$36="Deadweights",'Calibration Standards'!G17,"-")</f>
        <v>-</v>
      </c>
      <c r="L41" s="170" t="str">
        <f>IF($E$36="Deadweights",'Calibration Standards'!H17,"-")</f>
        <v>-</v>
      </c>
      <c r="M41" s="68"/>
      <c r="N41" s="68"/>
      <c r="O41" s="16"/>
      <c r="P41" s="16"/>
      <c r="Q41" s="16"/>
      <c r="R41" s="16"/>
      <c r="S41" s="91"/>
      <c r="T41" s="111"/>
      <c r="U41" s="111"/>
      <c r="V41" s="84"/>
      <c r="W41" s="157"/>
      <c r="X41" s="157"/>
      <c r="Y41" s="91"/>
      <c r="Z41" s="345"/>
      <c r="AA41" s="345"/>
      <c r="AB41" s="84"/>
      <c r="AC41" s="188"/>
      <c r="AD41" s="188"/>
      <c r="AE41" s="188"/>
      <c r="AF41" s="188"/>
      <c r="AG41" s="188"/>
      <c r="AH41" s="188"/>
      <c r="AI41" s="188"/>
      <c r="AJ41" s="188"/>
      <c r="AK41" s="188"/>
      <c r="AL41" s="188"/>
      <c r="AM41" s="188"/>
      <c r="AN41" s="181"/>
      <c r="AO41" s="181"/>
      <c r="AP41" s="84"/>
      <c r="AQ41" s="84"/>
      <c r="AR41" s="84"/>
      <c r="AS41" s="84"/>
      <c r="AT41" s="84"/>
      <c r="AU41" s="95"/>
      <c r="AV41" s="95"/>
      <c r="AW41" s="95"/>
      <c r="AX41" s="174"/>
      <c r="AY41" s="174"/>
      <c r="AZ41" s="174"/>
      <c r="BA41" s="174"/>
      <c r="BB41" s="174"/>
      <c r="BC41" s="16"/>
    </row>
    <row r="42" spans="1:55" s="14" customFormat="1" x14ac:dyDescent="0.25">
      <c r="A42" s="276"/>
      <c r="B42" s="70"/>
      <c r="C42" s="83"/>
      <c r="D42" s="169" t="str">
        <f>IF($E$36="Deadweights",'Calibration Standards'!A18,"-")</f>
        <v>-</v>
      </c>
      <c r="E42" s="343" t="str">
        <f>IF($E$36="Deadweights",'Calibration Standards'!B18,"-")</f>
        <v>-</v>
      </c>
      <c r="F42" s="344"/>
      <c r="G42" s="170" t="str">
        <f>IF($E$36="Deadweights",'Calibration Standards'!C18,"-")</f>
        <v>-</v>
      </c>
      <c r="H42" s="182" t="str">
        <f>IF($E$36="Deadweights",'Calibration Standards'!D18,"-")</f>
        <v>-</v>
      </c>
      <c r="I42" s="182" t="str">
        <f>IF($E$36="Deadweights",'Calibration Standards'!E18,"-")</f>
        <v>-</v>
      </c>
      <c r="J42" s="170" t="str">
        <f>IF($E$36="Deadweights",'Calibration Standards'!F18,"-")</f>
        <v>-</v>
      </c>
      <c r="K42" s="170" t="str">
        <f>IF($E$36="Deadweights",'Calibration Standards'!G18,"-")</f>
        <v>-</v>
      </c>
      <c r="L42" s="170" t="str">
        <f>IF($E$36="Deadweights",'Calibration Standards'!H18,"-")</f>
        <v>-</v>
      </c>
      <c r="M42" s="68"/>
      <c r="N42" s="68"/>
      <c r="O42" s="16"/>
      <c r="P42" s="16"/>
      <c r="Q42" s="16"/>
      <c r="R42" s="16"/>
      <c r="S42" s="91"/>
      <c r="T42" s="111"/>
      <c r="U42" s="111"/>
      <c r="V42" s="84"/>
      <c r="W42" s="157"/>
      <c r="X42" s="157"/>
      <c r="Y42" s="84"/>
      <c r="Z42" s="84"/>
      <c r="AA42" s="84"/>
      <c r="AB42" s="84"/>
      <c r="AC42" s="188"/>
      <c r="AD42" s="188"/>
      <c r="AE42" s="188"/>
      <c r="AF42" s="188"/>
      <c r="AG42" s="188"/>
      <c r="AH42" s="188"/>
      <c r="AI42" s="188"/>
      <c r="AJ42" s="188"/>
      <c r="AK42" s="188"/>
      <c r="AL42" s="188"/>
      <c r="AM42" s="188"/>
      <c r="AN42" s="181"/>
      <c r="AO42" s="181"/>
      <c r="AP42" s="84"/>
      <c r="AQ42" s="95"/>
      <c r="AR42" s="95"/>
      <c r="AS42" s="95"/>
      <c r="AT42" s="95"/>
      <c r="AU42" s="16"/>
      <c r="AV42" s="16"/>
      <c r="AW42" s="16"/>
      <c r="AX42" s="36"/>
      <c r="AY42" s="36"/>
      <c r="AZ42" s="36"/>
      <c r="BA42" s="36"/>
      <c r="BB42" s="36"/>
      <c r="BC42" s="16"/>
    </row>
    <row r="43" spans="1:55" s="14" customFormat="1" x14ac:dyDescent="0.25">
      <c r="A43" s="276"/>
      <c r="B43" s="70"/>
      <c r="C43" s="83"/>
      <c r="D43" s="169" t="str">
        <f>IF($E$36="Deadweights",'Calibration Standards'!A19,"-")</f>
        <v>-</v>
      </c>
      <c r="E43" s="343" t="str">
        <f>IF($E$36="Deadweights",'Calibration Standards'!B19,"-")</f>
        <v>-</v>
      </c>
      <c r="F43" s="344"/>
      <c r="G43" s="170" t="str">
        <f>IF($E$36="Deadweights",'Calibration Standards'!C19,"-")</f>
        <v>-</v>
      </c>
      <c r="H43" s="182" t="str">
        <f>IF($E$36="Deadweights",'Calibration Standards'!D19,"-")</f>
        <v>-</v>
      </c>
      <c r="I43" s="182" t="str">
        <f>IF($E$36="Deadweights",'Calibration Standards'!E19,"-")</f>
        <v>-</v>
      </c>
      <c r="J43" s="170" t="str">
        <f>IF($E$36="Deadweights",'Calibration Standards'!F19,"-")</f>
        <v>-</v>
      </c>
      <c r="K43" s="170" t="str">
        <f>IF($E$36="Deadweights",'Calibration Standards'!G19,"-")</f>
        <v>-</v>
      </c>
      <c r="L43" s="170" t="str">
        <f>IF($E$36="Deadweights",'Calibration Standards'!H19,"-")</f>
        <v>-</v>
      </c>
      <c r="M43" s="68"/>
      <c r="N43" s="68"/>
      <c r="O43" s="16"/>
      <c r="P43" s="16"/>
      <c r="Q43" s="16"/>
      <c r="R43" s="16"/>
      <c r="S43" s="16"/>
      <c r="T43" s="16"/>
      <c r="U43" s="16"/>
      <c r="V43" s="16"/>
      <c r="W43" s="36"/>
      <c r="X43" s="3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36"/>
      <c r="AY43" s="36"/>
      <c r="AZ43" s="36"/>
      <c r="BA43" s="36"/>
      <c r="BB43" s="36"/>
      <c r="BC43" s="16"/>
    </row>
    <row r="44" spans="1:55" s="14" customFormat="1" x14ac:dyDescent="0.25">
      <c r="A44" s="276"/>
      <c r="B44" s="70"/>
      <c r="C44" s="83"/>
      <c r="D44" s="169" t="str">
        <f>IF($E$36="Deadweights",'Calibration Standards'!A20,"-")</f>
        <v>-</v>
      </c>
      <c r="E44" s="343" t="str">
        <f>IF($E$36="Deadweights",'Calibration Standards'!B20,"-")</f>
        <v>-</v>
      </c>
      <c r="F44" s="344"/>
      <c r="G44" s="170" t="str">
        <f>IF($E$36="Deadweights",'Calibration Standards'!C20,"-")</f>
        <v>-</v>
      </c>
      <c r="H44" s="182" t="str">
        <f>IF($E$36="Deadweights",'Calibration Standards'!D20,"-")</f>
        <v>-</v>
      </c>
      <c r="I44" s="182" t="str">
        <f>IF($E$36="Deadweights",'Calibration Standards'!E20,"-")</f>
        <v>-</v>
      </c>
      <c r="J44" s="170" t="str">
        <f>IF($E$36="Deadweights",'Calibration Standards'!F20,"-")</f>
        <v>-</v>
      </c>
      <c r="K44" s="170" t="str">
        <f>IF($E$36="Deadweights",'Calibration Standards'!G20,"-")</f>
        <v>-</v>
      </c>
      <c r="L44" s="170" t="str">
        <f>IF($E$36="Deadweights",'Calibration Standards'!H20,"-")</f>
        <v>-</v>
      </c>
      <c r="M44" s="68"/>
      <c r="N44" s="68"/>
      <c r="O44" s="16"/>
      <c r="P44" s="16"/>
      <c r="Q44" s="16"/>
      <c r="R44" s="16"/>
      <c r="S44" s="16"/>
      <c r="T44" s="16"/>
      <c r="U44" s="16"/>
      <c r="V44" s="16"/>
      <c r="W44" s="36"/>
      <c r="X44" s="3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36"/>
      <c r="AY44" s="36"/>
      <c r="AZ44" s="36"/>
      <c r="BA44" s="36"/>
      <c r="BB44" s="36"/>
      <c r="BC44" s="16"/>
    </row>
    <row r="45" spans="1:55" s="14" customFormat="1" x14ac:dyDescent="0.25">
      <c r="A45" s="276"/>
      <c r="B45" s="70"/>
      <c r="C45" s="83"/>
      <c r="D45" s="169" t="str">
        <f>IF($E$36="Deadweights",'Calibration Standards'!A21,"-")</f>
        <v>-</v>
      </c>
      <c r="E45" s="343" t="str">
        <f>IF($E$36="Deadweights",'Calibration Standards'!B21,"-")</f>
        <v>-</v>
      </c>
      <c r="F45" s="344"/>
      <c r="G45" s="170" t="str">
        <f>IF($E$36="Deadweights",'Calibration Standards'!C21,"-")</f>
        <v>-</v>
      </c>
      <c r="H45" s="182" t="str">
        <f>IF($E$36="Deadweights",'Calibration Standards'!D21,"-")</f>
        <v>-</v>
      </c>
      <c r="I45" s="182" t="str">
        <f>IF($E$36="Deadweights",'Calibration Standards'!E21,"-")</f>
        <v>-</v>
      </c>
      <c r="J45" s="170" t="str">
        <f>IF($E$36="Deadweights",'Calibration Standards'!F21,"-")</f>
        <v>-</v>
      </c>
      <c r="K45" s="170" t="str">
        <f>IF($E$36="Deadweights",'Calibration Standards'!G21,"-")</f>
        <v>-</v>
      </c>
      <c r="L45" s="170" t="str">
        <f>IF($E$36="Deadweights",'Calibration Standards'!H21,"-")</f>
        <v>-</v>
      </c>
      <c r="M45" s="68"/>
      <c r="N45" s="68"/>
      <c r="O45" s="16"/>
      <c r="P45" s="16"/>
      <c r="Q45" s="16"/>
      <c r="R45" s="16"/>
      <c r="S45" s="16"/>
      <c r="T45" s="16"/>
      <c r="U45" s="16"/>
      <c r="V45" s="16"/>
      <c r="W45" s="36"/>
      <c r="X45" s="3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36"/>
      <c r="AY45" s="36"/>
      <c r="AZ45" s="36"/>
      <c r="BA45" s="36"/>
      <c r="BB45" s="36"/>
      <c r="BC45" s="16"/>
    </row>
    <row r="46" spans="1:55" s="14" customFormat="1" x14ac:dyDescent="0.25">
      <c r="A46" s="276"/>
      <c r="B46" s="70"/>
      <c r="C46" s="70"/>
      <c r="D46" s="169" t="str">
        <f>IF($E$36="Deadweights",'Calibration Standards'!A22,"-")</f>
        <v>-</v>
      </c>
      <c r="E46" s="343" t="str">
        <f>IF($E$36="Deadweights",'Calibration Standards'!B22,"-")</f>
        <v>-</v>
      </c>
      <c r="F46" s="344"/>
      <c r="G46" s="170" t="str">
        <f>IF($E$36="Deadweights",'Calibration Standards'!C22,"-")</f>
        <v>-</v>
      </c>
      <c r="H46" s="182" t="str">
        <f>IF($E$36="Deadweights",'Calibration Standards'!D22,"-")</f>
        <v>-</v>
      </c>
      <c r="I46" s="182" t="str">
        <f>IF($E$36="Deadweights",'Calibration Standards'!E22,"-")</f>
        <v>-</v>
      </c>
      <c r="J46" s="170" t="str">
        <f>IF($E$36="Deadweights",'Calibration Standards'!F22,"-")</f>
        <v>-</v>
      </c>
      <c r="K46" s="170" t="str">
        <f>IF($E$36="Deadweights",'Calibration Standards'!G22,"-")</f>
        <v>-</v>
      </c>
      <c r="L46" s="170" t="str">
        <f>IF($E$36="Deadweights",'Calibration Standards'!H22,"-")</f>
        <v>-</v>
      </c>
      <c r="M46" s="70"/>
      <c r="N46" s="70"/>
      <c r="O46" s="16"/>
      <c r="P46" s="16"/>
      <c r="Q46" s="16"/>
      <c r="R46" s="16"/>
      <c r="S46" s="16"/>
      <c r="T46" s="16"/>
      <c r="U46" s="16"/>
      <c r="V46" s="16"/>
      <c r="W46" s="36"/>
      <c r="X46" s="36"/>
      <c r="Y46" s="16"/>
      <c r="Z46" s="16"/>
      <c r="AX46" s="96"/>
      <c r="AY46" s="96"/>
      <c r="AZ46" s="96"/>
      <c r="BA46" s="96"/>
      <c r="BB46" s="96"/>
    </row>
    <row r="47" spans="1:55" s="14" customFormat="1" x14ac:dyDescent="0.25">
      <c r="A47" s="276"/>
      <c r="B47" s="70"/>
      <c r="C47" s="70"/>
      <c r="D47" s="169" t="str">
        <f>IF($E$36="Deadweights",'Calibration Standards'!A23,"-")</f>
        <v>-</v>
      </c>
      <c r="E47" s="343" t="str">
        <f>IF($E$36="Deadweights",'Calibration Standards'!B23,"-")</f>
        <v>-</v>
      </c>
      <c r="F47" s="344"/>
      <c r="G47" s="170" t="str">
        <f>IF($E$36="Deadweights",'Calibration Standards'!C23,"-")</f>
        <v>-</v>
      </c>
      <c r="H47" s="182" t="str">
        <f>IF($E$36="Deadweights",'Calibration Standards'!D23,"-")</f>
        <v>-</v>
      </c>
      <c r="I47" s="182" t="str">
        <f>IF($E$36="Deadweights",'Calibration Standards'!E23,"-")</f>
        <v>-</v>
      </c>
      <c r="J47" s="170" t="str">
        <f>IF($E$36="Deadweights",'Calibration Standards'!F23,"-")</f>
        <v>-</v>
      </c>
      <c r="K47" s="170" t="str">
        <f>IF($E$36="Deadweights",'Calibration Standards'!G23,"-")</f>
        <v>-</v>
      </c>
      <c r="L47" s="170" t="str">
        <f>IF($E$36="Deadweights",'Calibration Standards'!H23,"-")</f>
        <v>-</v>
      </c>
      <c r="M47" s="70"/>
      <c r="N47" s="70"/>
      <c r="O47" s="16"/>
      <c r="P47" s="16"/>
      <c r="Q47" s="16"/>
      <c r="R47" s="16"/>
      <c r="S47" s="16"/>
      <c r="T47" s="16"/>
      <c r="U47" s="16"/>
      <c r="V47" s="16"/>
      <c r="W47" s="36"/>
      <c r="X47" s="36"/>
      <c r="Y47" s="16"/>
      <c r="Z47" s="16"/>
      <c r="AX47" s="96"/>
      <c r="AY47" s="96"/>
      <c r="AZ47" s="96"/>
      <c r="BA47" s="96"/>
      <c r="BB47" s="96"/>
    </row>
    <row r="48" spans="1:55" s="14" customFormat="1" x14ac:dyDescent="0.25">
      <c r="A48" s="276"/>
      <c r="B48" s="70"/>
      <c r="C48" s="70"/>
      <c r="D48" s="168"/>
      <c r="E48" s="345"/>
      <c r="F48" s="345"/>
      <c r="G48" s="172"/>
      <c r="H48" s="183"/>
      <c r="I48" s="183"/>
      <c r="J48" s="172"/>
      <c r="K48" s="172"/>
      <c r="L48" s="172"/>
      <c r="M48" s="70"/>
      <c r="N48" s="70"/>
      <c r="O48" s="16"/>
      <c r="P48" s="16"/>
      <c r="Q48" s="16"/>
      <c r="R48" s="16"/>
      <c r="S48" s="16"/>
      <c r="T48" s="16"/>
      <c r="U48" s="16"/>
      <c r="V48" s="16"/>
      <c r="W48" s="36"/>
      <c r="X48" s="36"/>
      <c r="Y48" s="16"/>
      <c r="Z48" s="16"/>
      <c r="AX48" s="96"/>
      <c r="AY48" s="96"/>
      <c r="AZ48" s="96"/>
      <c r="BA48" s="96"/>
      <c r="BB48" s="96"/>
    </row>
    <row r="49" spans="1:54" s="14" customFormat="1" x14ac:dyDescent="0.25">
      <c r="A49" s="276"/>
      <c r="B49" s="70"/>
      <c r="C49" s="70"/>
      <c r="D49" s="70"/>
      <c r="E49" s="70"/>
      <c r="F49" s="70"/>
      <c r="G49" s="70"/>
      <c r="H49" s="70"/>
      <c r="I49" s="70"/>
      <c r="J49" s="70"/>
      <c r="K49" s="70"/>
      <c r="L49" s="70"/>
      <c r="M49" s="70"/>
      <c r="N49" s="70"/>
      <c r="O49" s="16"/>
      <c r="P49" s="16"/>
      <c r="Q49" s="16"/>
      <c r="R49" s="16"/>
      <c r="S49" s="16"/>
      <c r="T49" s="16"/>
      <c r="U49" s="16"/>
      <c r="V49" s="16"/>
      <c r="W49" s="36"/>
      <c r="X49" s="36"/>
      <c r="Y49" s="16"/>
      <c r="Z49" s="16"/>
      <c r="AX49" s="96"/>
      <c r="AY49" s="96"/>
      <c r="AZ49" s="96"/>
      <c r="BA49" s="96"/>
      <c r="BB49" s="96"/>
    </row>
    <row r="50" spans="1:54" s="14" customFormat="1" x14ac:dyDescent="0.25">
      <c r="A50" s="276"/>
      <c r="B50" s="70"/>
      <c r="C50" s="70"/>
      <c r="D50" s="70"/>
      <c r="E50" s="70"/>
      <c r="F50" s="70"/>
      <c r="G50" s="70"/>
      <c r="H50" s="70"/>
      <c r="I50" s="70"/>
      <c r="J50" s="70"/>
      <c r="K50" s="70"/>
      <c r="L50" s="70"/>
      <c r="M50" s="70"/>
      <c r="N50" s="70"/>
      <c r="O50" s="16"/>
      <c r="P50" s="16"/>
      <c r="Q50" s="16"/>
      <c r="R50" s="16"/>
      <c r="S50" s="16"/>
      <c r="T50" s="16"/>
      <c r="U50" s="16"/>
      <c r="V50" s="16"/>
      <c r="W50" s="36"/>
      <c r="X50" s="36"/>
      <c r="Y50" s="16"/>
      <c r="Z50" s="16"/>
      <c r="AX50" s="96"/>
      <c r="AY50" s="96"/>
      <c r="AZ50" s="96"/>
      <c r="BA50" s="96"/>
      <c r="BB50" s="96"/>
    </row>
    <row r="51" spans="1:54" s="14" customFormat="1" x14ac:dyDescent="0.25">
      <c r="A51" s="276"/>
      <c r="B51" s="70"/>
      <c r="C51" s="70"/>
      <c r="D51" s="70"/>
      <c r="E51" s="70"/>
      <c r="F51" s="70"/>
      <c r="G51" s="70"/>
      <c r="H51" s="70"/>
      <c r="I51" s="70"/>
      <c r="J51" s="70"/>
      <c r="K51" s="70"/>
      <c r="L51" s="70"/>
      <c r="M51" s="70"/>
      <c r="N51" s="70"/>
      <c r="O51" s="16"/>
      <c r="P51" s="16"/>
      <c r="Q51" s="16"/>
      <c r="R51" s="16"/>
      <c r="S51" s="16"/>
      <c r="T51" s="16"/>
      <c r="U51" s="16"/>
      <c r="V51" s="16"/>
      <c r="W51" s="36"/>
      <c r="X51" s="36"/>
      <c r="Y51" s="16"/>
      <c r="Z51" s="16"/>
      <c r="AX51" s="96"/>
      <c r="AY51" s="96"/>
      <c r="AZ51" s="96"/>
      <c r="BA51" s="96"/>
      <c r="BB51" s="96"/>
    </row>
    <row r="52" spans="1:54" s="14" customFormat="1" x14ac:dyDescent="0.25">
      <c r="A52" s="276"/>
      <c r="B52" s="70"/>
      <c r="C52" s="70"/>
      <c r="D52" s="70"/>
      <c r="E52" s="70"/>
      <c r="F52" s="70"/>
      <c r="G52" s="70"/>
      <c r="H52" s="70"/>
      <c r="I52" s="70"/>
      <c r="J52" s="70"/>
      <c r="K52" s="70"/>
      <c r="L52" s="70"/>
      <c r="M52" s="70"/>
      <c r="N52" s="70"/>
      <c r="O52" s="16"/>
      <c r="P52" s="16"/>
      <c r="Q52" s="16"/>
      <c r="R52" s="16"/>
      <c r="S52" s="16"/>
      <c r="T52" s="16"/>
      <c r="U52" s="16"/>
      <c r="V52" s="16"/>
      <c r="W52" s="36"/>
      <c r="X52" s="36"/>
      <c r="Y52" s="16"/>
      <c r="Z52" s="16"/>
      <c r="AX52" s="96"/>
      <c r="AY52" s="96"/>
      <c r="AZ52" s="96"/>
      <c r="BA52" s="96"/>
      <c r="BB52" s="96"/>
    </row>
    <row r="53" spans="1:54" s="14" customFormat="1" ht="15" customHeight="1" x14ac:dyDescent="0.25">
      <c r="A53" s="276"/>
      <c r="B53" s="70"/>
      <c r="C53" s="70"/>
      <c r="D53" s="70"/>
      <c r="E53" s="70"/>
      <c r="F53" s="70"/>
      <c r="G53" s="70"/>
      <c r="H53" s="70"/>
      <c r="I53" s="70"/>
      <c r="J53" s="70"/>
      <c r="K53" s="70"/>
      <c r="L53" s="70"/>
      <c r="M53" s="70"/>
      <c r="N53" s="70"/>
      <c r="O53" s="16"/>
      <c r="P53" s="16"/>
      <c r="Q53" s="16"/>
      <c r="R53" s="16"/>
      <c r="S53" s="16"/>
      <c r="T53" s="16"/>
      <c r="U53" s="16"/>
      <c r="V53" s="16"/>
      <c r="W53" s="36"/>
      <c r="X53" s="36"/>
      <c r="Y53" s="16"/>
      <c r="Z53" s="16"/>
      <c r="AH53" s="293" t="s">
        <v>420</v>
      </c>
      <c r="AI53" s="295" t="s">
        <v>282</v>
      </c>
      <c r="AJ53" s="296"/>
      <c r="AK53" s="296"/>
      <c r="AL53" s="297"/>
      <c r="AM53" s="295" t="s">
        <v>283</v>
      </c>
      <c r="AN53" s="296"/>
      <c r="AO53" s="296"/>
      <c r="AP53" s="297"/>
      <c r="AX53" s="96"/>
      <c r="AY53" s="96"/>
      <c r="AZ53" s="96"/>
      <c r="BA53" s="96"/>
      <c r="BB53" s="96"/>
    </row>
    <row r="54" spans="1:54" s="14" customFormat="1" ht="25.5" x14ac:dyDescent="0.25">
      <c r="A54" s="276"/>
      <c r="B54" s="70"/>
      <c r="C54" s="70"/>
      <c r="D54" s="70"/>
      <c r="E54" s="70"/>
      <c r="F54" s="70"/>
      <c r="G54" s="70"/>
      <c r="H54" s="70"/>
      <c r="I54" s="70"/>
      <c r="J54" s="70"/>
      <c r="K54" s="70"/>
      <c r="L54" s="70"/>
      <c r="M54" s="70"/>
      <c r="N54" s="70"/>
      <c r="O54" s="16"/>
      <c r="P54" s="16"/>
      <c r="Q54" s="16"/>
      <c r="R54" s="16"/>
      <c r="S54" s="16"/>
      <c r="T54" s="16"/>
      <c r="U54" s="16"/>
      <c r="V54" s="16"/>
      <c r="W54" s="36"/>
      <c r="X54" s="36"/>
      <c r="Y54" s="16"/>
      <c r="Z54" s="16"/>
      <c r="AH54" s="294"/>
      <c r="AI54" s="136" t="s">
        <v>405</v>
      </c>
      <c r="AJ54" s="235" t="s">
        <v>406</v>
      </c>
      <c r="AK54" s="235" t="s">
        <v>413</v>
      </c>
      <c r="AL54" s="235" t="s">
        <v>414</v>
      </c>
      <c r="AM54" s="136" t="s">
        <v>405</v>
      </c>
      <c r="AN54" s="235" t="s">
        <v>406</v>
      </c>
      <c r="AO54" s="235" t="s">
        <v>413</v>
      </c>
      <c r="AP54" s="235" t="s">
        <v>414</v>
      </c>
      <c r="AX54" s="96"/>
      <c r="AY54" s="96"/>
      <c r="AZ54" s="96"/>
      <c r="BA54" s="96"/>
      <c r="BB54" s="96"/>
    </row>
    <row r="55" spans="1:54" s="14" customFormat="1" x14ac:dyDescent="0.25">
      <c r="A55" s="276"/>
      <c r="B55" s="70"/>
      <c r="C55" s="70"/>
      <c r="D55" s="70"/>
      <c r="E55" s="70"/>
      <c r="F55" s="70"/>
      <c r="G55" s="70"/>
      <c r="H55" s="70"/>
      <c r="I55" s="70"/>
      <c r="J55" s="70"/>
      <c r="K55" s="70"/>
      <c r="L55" s="70"/>
      <c r="M55" s="70"/>
      <c r="N55" s="70"/>
      <c r="O55" s="16"/>
      <c r="P55" s="16"/>
      <c r="Q55" s="16"/>
      <c r="R55" s="16"/>
      <c r="S55" s="16"/>
      <c r="T55" s="16"/>
      <c r="U55" s="16"/>
      <c r="V55" s="16"/>
      <c r="W55" s="36"/>
      <c r="X55" s="36"/>
      <c r="Y55" s="229" t="s">
        <v>385</v>
      </c>
      <c r="Z55" s="16"/>
      <c r="AA55" s="16"/>
      <c r="AB55" s="16"/>
      <c r="AC55"/>
      <c r="AH55" s="294"/>
      <c r="AI55" s="268">
        <f t="shared" ref="AI55:AP55" si="0">D71</f>
        <v>0</v>
      </c>
      <c r="AJ55" s="268" t="e">
        <f t="shared" si="0"/>
        <v>#VALUE!</v>
      </c>
      <c r="AK55" s="268">
        <f t="shared" si="0"/>
        <v>0</v>
      </c>
      <c r="AL55" s="268" t="e">
        <f t="shared" si="0"/>
        <v>#VALUE!</v>
      </c>
      <c r="AM55" s="268">
        <f t="shared" si="0"/>
        <v>0</v>
      </c>
      <c r="AN55" s="268" t="str">
        <f t="shared" si="0"/>
        <v>-</v>
      </c>
      <c r="AO55" s="268">
        <f t="shared" si="0"/>
        <v>0</v>
      </c>
      <c r="AP55" s="268" t="str">
        <f t="shared" si="0"/>
        <v>-</v>
      </c>
      <c r="AX55" s="96"/>
      <c r="AY55" s="96"/>
      <c r="AZ55" s="96"/>
      <c r="BA55" s="96"/>
      <c r="BB55" s="96"/>
    </row>
    <row r="56" spans="1:54" s="14" customFormat="1" x14ac:dyDescent="0.25">
      <c r="A56" s="276"/>
      <c r="B56" s="70"/>
      <c r="C56" s="70"/>
      <c r="D56" s="70"/>
      <c r="E56" s="70"/>
      <c r="F56" s="70"/>
      <c r="G56" s="70"/>
      <c r="H56" s="70"/>
      <c r="I56" s="70"/>
      <c r="J56" s="70"/>
      <c r="K56" s="70"/>
      <c r="L56" s="70"/>
      <c r="M56" s="70"/>
      <c r="N56" s="70"/>
      <c r="O56" s="16"/>
      <c r="P56" s="16"/>
      <c r="Q56" s="16"/>
      <c r="R56" s="16"/>
      <c r="S56" s="16"/>
      <c r="T56" s="16"/>
      <c r="U56" s="16"/>
      <c r="V56" s="16"/>
      <c r="W56" s="36"/>
      <c r="X56" s="36"/>
      <c r="Y56" s="395" t="s">
        <v>386</v>
      </c>
      <c r="Z56" s="396" t="s">
        <v>387</v>
      </c>
      <c r="AA56" s="396"/>
      <c r="AB56" s="396"/>
      <c r="AC56" s="396"/>
      <c r="AD56" s="396" t="s">
        <v>388</v>
      </c>
      <c r="AE56" s="396"/>
      <c r="AF56" s="396"/>
      <c r="AG56" s="397"/>
      <c r="AH56" s="267">
        <f>B211</f>
        <v>50</v>
      </c>
      <c r="AX56" s="96"/>
      <c r="AY56" s="96"/>
      <c r="AZ56" s="96"/>
      <c r="BA56" s="96"/>
      <c r="BB56" s="96"/>
    </row>
    <row r="57" spans="1:54" s="14" customFormat="1" x14ac:dyDescent="0.25">
      <c r="A57" s="276"/>
      <c r="B57" s="70"/>
      <c r="C57" s="70"/>
      <c r="D57" s="70"/>
      <c r="E57" s="70"/>
      <c r="F57" s="70"/>
      <c r="G57" s="70"/>
      <c r="H57" s="70"/>
      <c r="I57" s="70"/>
      <c r="J57" s="70"/>
      <c r="K57" s="70"/>
      <c r="L57" s="70"/>
      <c r="M57" s="70"/>
      <c r="N57" s="70"/>
      <c r="O57" s="16"/>
      <c r="P57" s="16"/>
      <c r="Q57" s="16"/>
      <c r="R57" s="16"/>
      <c r="S57" s="16"/>
      <c r="T57" s="16"/>
      <c r="U57" s="16"/>
      <c r="V57" s="16"/>
      <c r="W57" s="36"/>
      <c r="X57" s="36"/>
      <c r="Y57" s="395"/>
      <c r="Z57" s="396" t="s">
        <v>389</v>
      </c>
      <c r="AA57" s="396"/>
      <c r="AB57" s="396" t="s">
        <v>390</v>
      </c>
      <c r="AC57" s="396"/>
      <c r="AD57" s="396" t="s">
        <v>418</v>
      </c>
      <c r="AE57" s="396"/>
      <c r="AF57" s="396" t="s">
        <v>419</v>
      </c>
      <c r="AG57" s="396"/>
      <c r="AH57" s="14" t="s">
        <v>421</v>
      </c>
      <c r="AX57" s="96"/>
      <c r="AY57" s="96"/>
      <c r="AZ57" s="96"/>
      <c r="BA57" s="96"/>
      <c r="BB57" s="96"/>
    </row>
    <row r="58" spans="1:54" s="14" customFormat="1" x14ac:dyDescent="0.25">
      <c r="A58" s="276"/>
      <c r="B58" s="70"/>
      <c r="C58" s="70"/>
      <c r="D58" s="70"/>
      <c r="E58" s="70"/>
      <c r="F58" s="70"/>
      <c r="G58" s="70"/>
      <c r="H58" s="70"/>
      <c r="I58" s="70"/>
      <c r="J58" s="70"/>
      <c r="K58" s="70"/>
      <c r="L58" s="70"/>
      <c r="M58" s="70"/>
      <c r="N58" s="70"/>
      <c r="O58" s="16"/>
      <c r="P58" s="16"/>
      <c r="Q58" s="16"/>
      <c r="R58" s="16"/>
      <c r="S58" s="16"/>
      <c r="T58" s="16"/>
      <c r="U58" s="16"/>
      <c r="V58" s="16"/>
      <c r="W58" s="36"/>
      <c r="X58" s="36"/>
      <c r="Y58" s="395"/>
      <c r="Z58" s="260" t="s">
        <v>416</v>
      </c>
      <c r="AA58" s="261" t="s">
        <v>417</v>
      </c>
      <c r="AB58" s="396" t="s">
        <v>392</v>
      </c>
      <c r="AC58" s="396"/>
      <c r="AD58" s="396" t="s">
        <v>391</v>
      </c>
      <c r="AE58" s="396"/>
      <c r="AF58" s="396" t="s">
        <v>393</v>
      </c>
      <c r="AG58" s="396"/>
      <c r="AH58" s="14" t="s">
        <v>32</v>
      </c>
      <c r="AX58" s="96"/>
      <c r="AY58" s="96"/>
      <c r="AZ58" s="96"/>
      <c r="BA58" s="96"/>
      <c r="BB58" s="96"/>
    </row>
    <row r="59" spans="1:54" s="14" customFormat="1" x14ac:dyDescent="0.25">
      <c r="A59" s="276"/>
      <c r="B59" s="192"/>
      <c r="C59" s="192"/>
      <c r="D59" s="192"/>
      <c r="E59" s="192"/>
      <c r="F59" s="192"/>
      <c r="G59" s="192"/>
      <c r="H59" s="192"/>
      <c r="I59" s="192"/>
      <c r="J59" s="192"/>
      <c r="K59" s="192"/>
      <c r="L59" s="192"/>
      <c r="M59" s="192"/>
      <c r="N59" s="192"/>
      <c r="O59" s="16"/>
      <c r="P59" s="16"/>
      <c r="Q59" s="16"/>
      <c r="R59" s="16"/>
      <c r="S59" s="16"/>
      <c r="T59" s="16"/>
      <c r="U59" s="16"/>
      <c r="V59" s="16"/>
      <c r="W59" s="36"/>
      <c r="X59" s="36"/>
      <c r="Y59" s="230" t="s">
        <v>394</v>
      </c>
      <c r="Z59" s="262">
        <v>1.2999999999999999E-2</v>
      </c>
      <c r="AA59" s="263">
        <v>5.0000000000000001E-4</v>
      </c>
      <c r="AB59" s="318" t="s">
        <v>395</v>
      </c>
      <c r="AC59" s="318"/>
      <c r="AD59" s="262">
        <v>2.5000000000000001E-2</v>
      </c>
      <c r="AE59" s="263">
        <v>1E-3</v>
      </c>
      <c r="AF59" s="319">
        <v>5.0000000000000001E-3</v>
      </c>
      <c r="AG59" s="318"/>
      <c r="AH59" s="266">
        <f>$AH$56*AF59</f>
        <v>0.25</v>
      </c>
      <c r="AX59" s="96"/>
      <c r="AY59" s="96"/>
      <c r="AZ59" s="96"/>
      <c r="BA59" s="96"/>
      <c r="BB59" s="96"/>
    </row>
    <row r="60" spans="1:54" s="14" customFormat="1" x14ac:dyDescent="0.25">
      <c r="A60" s="276"/>
      <c r="B60" s="70"/>
      <c r="C60" s="70"/>
      <c r="D60" s="70"/>
      <c r="E60" s="70"/>
      <c r="F60" s="70"/>
      <c r="G60" s="70"/>
      <c r="H60" s="70"/>
      <c r="I60" s="70"/>
      <c r="J60" s="70"/>
      <c r="K60" s="70"/>
      <c r="L60" s="70"/>
      <c r="M60" s="70"/>
      <c r="N60" s="70"/>
      <c r="O60" s="16"/>
      <c r="P60" s="16"/>
      <c r="Q60" s="16"/>
      <c r="R60" s="16"/>
      <c r="S60" s="16"/>
      <c r="T60" s="16"/>
      <c r="U60" s="16"/>
      <c r="V60" s="16"/>
      <c r="W60" s="36"/>
      <c r="X60" s="36"/>
      <c r="Y60" s="230" t="s">
        <v>397</v>
      </c>
      <c r="Z60" s="262">
        <v>3.7999999999999999E-2</v>
      </c>
      <c r="AA60" s="263">
        <v>1.5E-3</v>
      </c>
      <c r="AB60" s="318" t="s">
        <v>396</v>
      </c>
      <c r="AC60" s="318"/>
      <c r="AD60" s="264">
        <v>7.4999999999999997E-2</v>
      </c>
      <c r="AE60" s="263">
        <v>3.0000000000000001E-3</v>
      </c>
      <c r="AF60" s="317">
        <v>0.01</v>
      </c>
      <c r="AG60" s="318"/>
      <c r="AH60" s="266">
        <f>$AH$56*AF60</f>
        <v>0.5</v>
      </c>
      <c r="AX60" s="96"/>
      <c r="AY60" s="96"/>
      <c r="AZ60" s="96"/>
      <c r="BA60" s="96"/>
      <c r="BB60" s="96"/>
    </row>
    <row r="61" spans="1:54" s="14" customFormat="1" x14ac:dyDescent="0.25">
      <c r="A61" s="276"/>
      <c r="B61" s="357" t="s">
        <v>253</v>
      </c>
      <c r="C61" s="357"/>
      <c r="D61" s="357"/>
      <c r="E61" s="357"/>
      <c r="F61" s="357"/>
      <c r="G61" s="357"/>
      <c r="H61" s="357"/>
      <c r="I61" s="357"/>
      <c r="J61" s="357"/>
      <c r="K61" s="357"/>
      <c r="L61" s="357"/>
      <c r="M61" s="357"/>
      <c r="N61" s="357"/>
      <c r="O61" s="16"/>
      <c r="P61" s="16"/>
      <c r="Q61" s="16"/>
      <c r="R61" s="16"/>
      <c r="S61" s="16"/>
      <c r="T61" s="16"/>
      <c r="U61" s="16"/>
      <c r="V61" s="16"/>
      <c r="W61" s="36"/>
      <c r="X61" s="36"/>
      <c r="Y61" s="230" t="s">
        <v>399</v>
      </c>
      <c r="Z61" s="262">
        <v>6.4000000000000001E-2</v>
      </c>
      <c r="AA61" s="263">
        <v>2.5000000000000001E-3</v>
      </c>
      <c r="AB61" s="318" t="s">
        <v>398</v>
      </c>
      <c r="AC61" s="318"/>
      <c r="AD61" s="264">
        <v>0.125</v>
      </c>
      <c r="AE61" s="263">
        <v>5.0000000000000001E-3</v>
      </c>
      <c r="AF61" s="317">
        <v>0.02</v>
      </c>
      <c r="AG61" s="318"/>
      <c r="AH61" s="266">
        <f>$AH$56*AF61</f>
        <v>1</v>
      </c>
      <c r="AX61" s="96"/>
      <c r="AY61" s="96"/>
      <c r="AZ61" s="96"/>
      <c r="BA61" s="96"/>
      <c r="BB61" s="96"/>
    </row>
    <row r="62" spans="1:54" s="14" customFormat="1" x14ac:dyDescent="0.25">
      <c r="A62" s="276"/>
      <c r="B62" s="1" t="s">
        <v>284</v>
      </c>
      <c r="C62" s="135"/>
      <c r="D62" s="135"/>
      <c r="E62" s="135"/>
      <c r="F62" s="135"/>
      <c r="G62" s="135"/>
      <c r="H62" s="135"/>
      <c r="I62" s="135"/>
      <c r="J62" s="135"/>
      <c r="K62" s="135"/>
      <c r="L62" s="135"/>
      <c r="M62" s="135"/>
      <c r="N62" s="135"/>
      <c r="O62" s="16"/>
      <c r="P62" s="16"/>
      <c r="Q62" s="16"/>
      <c r="R62" s="16"/>
      <c r="S62" s="16"/>
      <c r="T62" s="16"/>
      <c r="U62" s="16"/>
      <c r="V62" s="16"/>
      <c r="W62" s="36"/>
      <c r="X62" s="36"/>
      <c r="Y62" s="230" t="s">
        <v>400</v>
      </c>
      <c r="Z62" s="262">
        <v>0.13</v>
      </c>
      <c r="AA62" s="263">
        <v>5.0000000000000001E-3</v>
      </c>
      <c r="AB62" s="318" t="s">
        <v>401</v>
      </c>
      <c r="AC62" s="318"/>
      <c r="AD62" s="264">
        <v>0.25</v>
      </c>
      <c r="AE62" s="265">
        <v>0.01</v>
      </c>
      <c r="AF62" s="317">
        <v>0.03</v>
      </c>
      <c r="AG62" s="318"/>
      <c r="AH62" s="266">
        <f>$AH$56*AF62</f>
        <v>1.5</v>
      </c>
      <c r="AX62" s="96"/>
      <c r="AY62" s="96"/>
      <c r="AZ62" s="96"/>
      <c r="BA62" s="96"/>
      <c r="BB62" s="96"/>
    </row>
    <row r="63" spans="1:54" x14ac:dyDescent="0.25">
      <c r="B63" s="249"/>
      <c r="C63" s="250"/>
      <c r="D63" s="250"/>
      <c r="E63" s="250"/>
      <c r="F63" s="295" t="s">
        <v>282</v>
      </c>
      <c r="G63" s="297"/>
      <c r="H63" s="295" t="s">
        <v>283</v>
      </c>
      <c r="I63" s="297"/>
      <c r="J63" s="250"/>
      <c r="K63" s="249"/>
      <c r="L63" s="249"/>
      <c r="M63" s="249"/>
    </row>
    <row r="64" spans="1:54" ht="25.5" x14ac:dyDescent="0.25">
      <c r="B64" s="3" t="s">
        <v>38</v>
      </c>
      <c r="C64" s="372" t="str">
        <f>IF($D$28="Starrett Deadweight","Test Range (g)","Test Range (N)")</f>
        <v>Test Range (N)</v>
      </c>
      <c r="D64" s="372"/>
      <c r="E64" s="3" t="s">
        <v>39</v>
      </c>
      <c r="F64" s="136" t="s">
        <v>40</v>
      </c>
      <c r="G64" s="138" t="s">
        <v>302</v>
      </c>
      <c r="H64" s="136" t="s">
        <v>40</v>
      </c>
      <c r="I64" s="138" t="s">
        <v>41</v>
      </c>
      <c r="J64" s="3" t="s">
        <v>42</v>
      </c>
      <c r="K64" s="214" t="str">
        <f>IF($D$28="Starrett Deadweight","Resolution (g)","Resolution (N)")</f>
        <v>Resolution (N)</v>
      </c>
      <c r="L64" s="372" t="str">
        <f>IF($D$28="Starrett Deadweight","ASTM E4 Lower Limit (g)","ASTM E4 Lower Limit (N)")</f>
        <v>ASTM E4 Lower Limit (N)</v>
      </c>
      <c r="M64" s="372"/>
      <c r="AB64" s="16"/>
      <c r="AC64" s="16"/>
      <c r="AD64" s="16"/>
      <c r="AE64" s="16"/>
      <c r="AF64" s="16"/>
      <c r="AG64" s="16"/>
      <c r="AH64" s="16"/>
      <c r="AI64" s="16"/>
      <c r="AJ64" s="16"/>
      <c r="AK64" s="16"/>
      <c r="AL64" s="16"/>
      <c r="AM64" s="16"/>
      <c r="AN64" s="16"/>
      <c r="AO64" s="16"/>
      <c r="AP64" s="16"/>
      <c r="AQ64" s="16"/>
      <c r="AR64" s="16"/>
      <c r="AS64" s="16"/>
      <c r="AT64" s="16"/>
      <c r="AU64" s="16"/>
      <c r="AV64" s="16"/>
    </row>
    <row r="65" spans="1:64" x14ac:dyDescent="0.25">
      <c r="B65" s="191">
        <v>1</v>
      </c>
      <c r="C65" s="245" t="s">
        <v>403</v>
      </c>
      <c r="D65" s="253" t="e">
        <f>VLOOKUP(G16,'Load Test Points'!A28:E67,4,FALSE)</f>
        <v>#N/A</v>
      </c>
      <c r="E65" s="240" t="s">
        <v>43</v>
      </c>
      <c r="F65" s="241">
        <f>MAX(E78:E87,H78:H87,K78:K87,ABS(MIN(E78:E87,H78:H87,K78:K87)))</f>
        <v>0</v>
      </c>
      <c r="G65" s="242">
        <f>MAX(L78:L87)</f>
        <v>0</v>
      </c>
      <c r="H65" s="243">
        <f>MAX(E130:E139,H130:H139,K130:K139,ABS(MIN(E130:E139,H130:H139,K130:K139)))</f>
        <v>0</v>
      </c>
      <c r="I65" s="244">
        <f>MAX(L130:L139)</f>
        <v>0</v>
      </c>
      <c r="J65" s="240" t="s">
        <v>44</v>
      </c>
      <c r="K65" s="240">
        <f>$G$18</f>
        <v>0</v>
      </c>
      <c r="L65" s="373">
        <f>K65*200</f>
        <v>0</v>
      </c>
      <c r="M65" s="373"/>
      <c r="AB65" s="16"/>
      <c r="AC65" s="16"/>
      <c r="AD65" s="16"/>
      <c r="AE65" s="16"/>
      <c r="AF65" s="16"/>
      <c r="AG65" s="16"/>
      <c r="AH65" s="16"/>
      <c r="AI65" s="16"/>
      <c r="AJ65" s="16"/>
      <c r="AK65" s="16"/>
      <c r="AL65" s="16"/>
      <c r="AM65" s="16"/>
      <c r="AN65" s="16"/>
      <c r="AO65" s="16"/>
      <c r="AP65" s="16"/>
      <c r="AQ65" s="16"/>
      <c r="AR65" s="16"/>
      <c r="AS65" s="16"/>
      <c r="AT65" s="16"/>
      <c r="AU65" s="16"/>
      <c r="AV65" s="16"/>
    </row>
    <row r="66" spans="1:64" x14ac:dyDescent="0.25">
      <c r="B66" s="191">
        <v>1</v>
      </c>
      <c r="C66" s="245" t="s">
        <v>403</v>
      </c>
      <c r="D66" s="253" t="e">
        <f>VLOOKUP(G16,'Load Test Points'!A28:E67,4,FALSE)</f>
        <v>#N/A</v>
      </c>
      <c r="E66" s="240" t="s">
        <v>45</v>
      </c>
      <c r="F66" s="241">
        <f>MAX(E93:E102,H93:H102,K93:K102,ABS(MIN(E93:E102,H93:H102,K93:K102)))</f>
        <v>0</v>
      </c>
      <c r="G66" s="242">
        <f>MAX(L93:L102)</f>
        <v>0</v>
      </c>
      <c r="H66" s="243">
        <f>MAX(E145:E154,H145:H154,K145:K154,ABS(MIN(E145:E154,H145:H154,K145:K154)))</f>
        <v>0</v>
      </c>
      <c r="I66" s="244">
        <f>MAX(L130:L139)</f>
        <v>0</v>
      </c>
      <c r="J66" s="240" t="s">
        <v>44</v>
      </c>
      <c r="K66" s="240">
        <f>$G$18</f>
        <v>0</v>
      </c>
      <c r="L66" s="374">
        <f>K66*200</f>
        <v>0</v>
      </c>
      <c r="M66" s="374"/>
      <c r="AB66" s="16"/>
      <c r="AC66" s="16"/>
      <c r="AD66" s="16"/>
      <c r="AE66" s="16"/>
      <c r="AF66" s="16"/>
      <c r="AG66" s="16"/>
      <c r="AH66" s="16"/>
      <c r="AI66" s="16"/>
      <c r="AJ66" s="16"/>
      <c r="AK66" s="16"/>
      <c r="AL66" s="16"/>
      <c r="AM66" s="16"/>
      <c r="AN66" s="16"/>
      <c r="AO66" s="16"/>
      <c r="AP66" s="16"/>
      <c r="AQ66" s="16"/>
      <c r="AR66" s="16"/>
      <c r="AS66" s="16"/>
      <c r="AT66" s="16"/>
      <c r="AU66" s="16"/>
      <c r="AV66" s="16"/>
    </row>
    <row r="67" spans="1:64" s="14" customFormat="1" x14ac:dyDescent="0.25">
      <c r="A67" s="276"/>
      <c r="B67" s="236"/>
      <c r="C67" s="245"/>
      <c r="D67" s="89"/>
      <c r="E67" s="240"/>
      <c r="F67" s="246"/>
      <c r="G67" s="247"/>
      <c r="H67" s="248"/>
      <c r="I67" s="131"/>
      <c r="J67" s="240"/>
      <c r="K67" s="240"/>
      <c r="L67" s="240"/>
      <c r="M67" s="240"/>
      <c r="O67" s="16"/>
      <c r="P67" s="16"/>
      <c r="Q67" s="16"/>
      <c r="R67" s="16"/>
      <c r="S67" s="16"/>
      <c r="T67" s="16"/>
      <c r="U67" s="16"/>
      <c r="V67" s="16"/>
      <c r="W67" s="36"/>
      <c r="X67" s="3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X67" s="96"/>
      <c r="AY67" s="96"/>
      <c r="AZ67" s="96"/>
      <c r="BA67" s="96"/>
      <c r="BB67" s="96"/>
    </row>
    <row r="68" spans="1:64" s="14" customFormat="1" x14ac:dyDescent="0.25">
      <c r="A68" s="276"/>
      <c r="B68" s="1" t="s">
        <v>285</v>
      </c>
      <c r="C68" s="4"/>
      <c r="D68" s="5"/>
      <c r="E68" s="10"/>
      <c r="F68" s="6"/>
      <c r="G68" s="8"/>
      <c r="H68" s="10"/>
      <c r="I68" s="10"/>
      <c r="J68" s="10"/>
      <c r="O68" s="16"/>
      <c r="W68" s="96"/>
      <c r="X68" s="96"/>
      <c r="Y68" s="326" t="s">
        <v>349</v>
      </c>
      <c r="Z68" s="327"/>
      <c r="AA68" s="327"/>
      <c r="AB68" s="327"/>
      <c r="AC68" s="327"/>
      <c r="AD68" s="327"/>
      <c r="AE68" s="327"/>
      <c r="AF68" s="327"/>
      <c r="AG68" s="327"/>
      <c r="AH68" s="327"/>
      <c r="AI68" s="327"/>
      <c r="AJ68" s="327"/>
      <c r="AK68" s="327"/>
      <c r="AL68" s="327"/>
      <c r="AM68" s="327"/>
      <c r="AN68" s="327"/>
      <c r="AO68" s="327"/>
      <c r="AP68" s="327"/>
      <c r="AQ68" s="327"/>
      <c r="AR68" s="327"/>
      <c r="AS68" s="327"/>
      <c r="AT68" s="327"/>
      <c r="AU68" s="327"/>
      <c r="AV68" s="327"/>
      <c r="AW68" s="327"/>
      <c r="AX68" s="96"/>
      <c r="AY68" s="96"/>
      <c r="AZ68" s="96"/>
      <c r="BA68" s="96"/>
      <c r="BB68" s="96"/>
    </row>
    <row r="69" spans="1:64" s="14" customFormat="1" x14ac:dyDescent="0.25">
      <c r="A69" s="276"/>
      <c r="B69" s="249"/>
      <c r="C69" s="250"/>
      <c r="D69" s="295" t="s">
        <v>282</v>
      </c>
      <c r="E69" s="296"/>
      <c r="F69" s="296"/>
      <c r="G69" s="297"/>
      <c r="H69" s="295" t="s">
        <v>283</v>
      </c>
      <c r="I69" s="296"/>
      <c r="J69" s="296"/>
      <c r="K69" s="297"/>
      <c r="L69" s="251"/>
      <c r="M69" s="249"/>
      <c r="W69" s="96"/>
      <c r="X69" s="96"/>
      <c r="Y69" s="328" t="s">
        <v>233</v>
      </c>
      <c r="Z69" s="328"/>
      <c r="AA69" s="328"/>
      <c r="AB69" s="328"/>
      <c r="AC69" s="328"/>
      <c r="AD69" s="328"/>
      <c r="AE69" s="328"/>
      <c r="AF69" s="328"/>
      <c r="AG69" s="328"/>
      <c r="AH69" s="328"/>
      <c r="AI69" s="328"/>
      <c r="AJ69" s="328"/>
      <c r="AK69" s="328"/>
      <c r="AL69" s="328"/>
      <c r="AM69" s="328"/>
      <c r="AN69" s="328"/>
      <c r="AO69" s="328"/>
      <c r="AP69" s="328"/>
      <c r="AQ69" s="328"/>
      <c r="AR69" s="328"/>
      <c r="AS69" s="328"/>
      <c r="AT69" s="324" t="s">
        <v>234</v>
      </c>
      <c r="AU69" s="325" t="s">
        <v>252</v>
      </c>
      <c r="AV69" s="329" t="s">
        <v>54</v>
      </c>
      <c r="AW69" s="325" t="s">
        <v>55</v>
      </c>
      <c r="AX69" s="324" t="s">
        <v>234</v>
      </c>
      <c r="AY69" s="325" t="s">
        <v>252</v>
      </c>
      <c r="AZ69" s="329" t="s">
        <v>54</v>
      </c>
      <c r="BA69" s="325" t="s">
        <v>367</v>
      </c>
      <c r="BB69" s="175"/>
    </row>
    <row r="70" spans="1:64" s="14" customFormat="1" ht="38.25" x14ac:dyDescent="0.25">
      <c r="A70" s="276"/>
      <c r="B70" s="382" t="s">
        <v>46</v>
      </c>
      <c r="C70" s="382"/>
      <c r="D70" s="136" t="s">
        <v>405</v>
      </c>
      <c r="E70" s="129" t="s">
        <v>406</v>
      </c>
      <c r="F70" s="129" t="s">
        <v>413</v>
      </c>
      <c r="G70" s="129" t="s">
        <v>414</v>
      </c>
      <c r="H70" s="136" t="s">
        <v>405</v>
      </c>
      <c r="I70" s="235" t="s">
        <v>406</v>
      </c>
      <c r="J70" s="235" t="s">
        <v>413</v>
      </c>
      <c r="K70" s="235" t="s">
        <v>414</v>
      </c>
      <c r="L70" s="136" t="s">
        <v>47</v>
      </c>
      <c r="M70" s="3" t="s">
        <v>48</v>
      </c>
      <c r="W70" s="96"/>
      <c r="X70" s="96"/>
      <c r="Y70" s="330"/>
      <c r="Z70" s="324" t="s">
        <v>235</v>
      </c>
      <c r="AA70" s="324" t="s">
        <v>236</v>
      </c>
      <c r="AB70" s="325" t="s">
        <v>237</v>
      </c>
      <c r="AC70" s="320" t="s">
        <v>360</v>
      </c>
      <c r="AD70" s="190"/>
      <c r="AE70" s="190"/>
      <c r="AF70" s="320" t="s">
        <v>361</v>
      </c>
      <c r="AG70" s="190"/>
      <c r="AH70" s="190"/>
      <c r="AI70" s="190"/>
      <c r="AJ70" s="205"/>
      <c r="AK70" s="320" t="s">
        <v>362</v>
      </c>
      <c r="AL70" s="190"/>
      <c r="AM70" s="190"/>
      <c r="AN70" s="180"/>
      <c r="AO70" s="180"/>
      <c r="AP70" s="324" t="s">
        <v>368</v>
      </c>
      <c r="AQ70" s="324" t="s">
        <v>369</v>
      </c>
      <c r="AR70" s="324" t="s">
        <v>240</v>
      </c>
      <c r="AS70" s="324" t="s">
        <v>241</v>
      </c>
      <c r="AT70" s="324"/>
      <c r="AU70" s="325"/>
      <c r="AV70" s="329"/>
      <c r="AW70" s="325"/>
      <c r="AX70" s="324"/>
      <c r="AY70" s="325"/>
      <c r="AZ70" s="329"/>
      <c r="BA70" s="325"/>
    </row>
    <row r="71" spans="1:64" s="14" customFormat="1" ht="15" customHeight="1" x14ac:dyDescent="0.25">
      <c r="A71" s="276"/>
      <c r="B71" s="383" t="s">
        <v>404</v>
      </c>
      <c r="C71" s="383"/>
      <c r="D71" s="256">
        <f>MAX(AJ195:AL199)</f>
        <v>0</v>
      </c>
      <c r="E71" s="257" t="e">
        <f>MAX(L195:L199)</f>
        <v>#VALUE!</v>
      </c>
      <c r="F71" s="258">
        <f>MAX(AM195:AM199)</f>
        <v>0</v>
      </c>
      <c r="G71" s="257" t="e">
        <f>MAX(L195:L199)</f>
        <v>#VALUE!</v>
      </c>
      <c r="H71" s="256">
        <f>IFERROR(MAX(AJ207:AL211),"-")</f>
        <v>0</v>
      </c>
      <c r="I71" s="257" t="str">
        <f>IFERROR(MAX(L207:L211),"-")</f>
        <v>-</v>
      </c>
      <c r="J71" s="258">
        <f>IFERROR(MAX(AM207:AM211),"-")</f>
        <v>0</v>
      </c>
      <c r="K71" s="257" t="str">
        <f>IFERROR(MAX(L207:L211),"-")</f>
        <v>-</v>
      </c>
      <c r="L71" s="287" t="s">
        <v>245</v>
      </c>
      <c r="M71" s="259">
        <f>G19</f>
        <v>0.01</v>
      </c>
      <c r="O71" s="347" t="s">
        <v>426</v>
      </c>
      <c r="P71" s="348"/>
      <c r="Q71" s="348"/>
      <c r="R71" s="348"/>
      <c r="S71" s="348"/>
      <c r="T71" s="348"/>
      <c r="U71" s="348"/>
      <c r="V71" s="349"/>
      <c r="W71" s="36"/>
      <c r="X71" s="36"/>
      <c r="Y71" s="330"/>
      <c r="Z71" s="324"/>
      <c r="AA71" s="324"/>
      <c r="AB71" s="325"/>
      <c r="AC71" s="321"/>
      <c r="AD71" s="190"/>
      <c r="AE71" s="190"/>
      <c r="AF71" s="321"/>
      <c r="AG71" s="190"/>
      <c r="AH71" s="190"/>
      <c r="AI71" s="190"/>
      <c r="AJ71" s="206"/>
      <c r="AK71" s="321"/>
      <c r="AL71" s="190"/>
      <c r="AM71" s="190"/>
      <c r="AN71" s="180"/>
      <c r="AO71" s="180"/>
      <c r="AP71" s="324"/>
      <c r="AQ71" s="324"/>
      <c r="AR71" s="324"/>
      <c r="AS71" s="324"/>
      <c r="AT71" s="324"/>
      <c r="AU71" s="325"/>
      <c r="AV71" s="329"/>
      <c r="AW71" s="325"/>
      <c r="AX71" s="324"/>
      <c r="AY71" s="325"/>
      <c r="AZ71" s="329"/>
      <c r="BA71" s="325"/>
    </row>
    <row r="72" spans="1:64" s="14" customFormat="1" ht="15" customHeight="1" x14ac:dyDescent="0.25">
      <c r="A72" s="276"/>
      <c r="B72" s="139"/>
      <c r="C72" s="139"/>
      <c r="D72" s="141"/>
      <c r="E72" s="137"/>
      <c r="F72" s="140"/>
      <c r="G72" s="137"/>
      <c r="H72" s="142"/>
      <c r="I72" s="140"/>
      <c r="J72" s="9"/>
      <c r="K72" s="16"/>
      <c r="L72" s="143"/>
      <c r="O72" s="350"/>
      <c r="P72" s="351"/>
      <c r="Q72" s="351"/>
      <c r="R72" s="351"/>
      <c r="S72" s="351"/>
      <c r="T72" s="351"/>
      <c r="U72" s="351"/>
      <c r="V72" s="352"/>
      <c r="W72" s="160"/>
      <c r="X72" s="160"/>
      <c r="Y72" s="330"/>
      <c r="Z72" s="324"/>
      <c r="AA72" s="324"/>
      <c r="AB72" s="325"/>
      <c r="AC72" s="322"/>
      <c r="AD72" s="196"/>
      <c r="AE72" s="196"/>
      <c r="AF72" s="322"/>
      <c r="AG72" s="196"/>
      <c r="AH72" s="196"/>
      <c r="AI72" s="196"/>
      <c r="AJ72" s="202"/>
      <c r="AK72" s="322"/>
      <c r="AL72" s="196"/>
      <c r="AM72" s="196"/>
      <c r="AN72" s="196"/>
      <c r="AO72" s="180"/>
      <c r="AP72" s="324"/>
      <c r="AQ72" s="324"/>
      <c r="AR72" s="324"/>
      <c r="AS72" s="324"/>
      <c r="AT72" s="324"/>
      <c r="AU72" s="325"/>
      <c r="AV72" s="329"/>
      <c r="AW72" s="325"/>
      <c r="AX72" s="324"/>
      <c r="AY72" s="325"/>
      <c r="AZ72" s="329"/>
      <c r="BA72" s="325"/>
    </row>
    <row r="73" spans="1:64" ht="33.75" x14ac:dyDescent="0.25">
      <c r="B73" s="14"/>
      <c r="C73" s="14"/>
      <c r="D73" s="14"/>
      <c r="E73" s="14"/>
      <c r="F73" s="14"/>
      <c r="G73" s="14"/>
      <c r="H73" s="14"/>
      <c r="I73" s="14"/>
      <c r="J73" s="14"/>
      <c r="K73" s="14"/>
      <c r="O73" s="353"/>
      <c r="P73" s="354"/>
      <c r="Q73" s="354"/>
      <c r="R73" s="354"/>
      <c r="S73" s="354"/>
      <c r="T73" s="354"/>
      <c r="U73" s="354"/>
      <c r="V73" s="355"/>
      <c r="W73" s="161"/>
      <c r="X73" s="161"/>
      <c r="Y73" s="198" t="s">
        <v>345</v>
      </c>
      <c r="Z73" s="194" t="s">
        <v>346</v>
      </c>
      <c r="AA73" s="195" t="s">
        <v>347</v>
      </c>
      <c r="AB73" s="195" t="s">
        <v>347</v>
      </c>
      <c r="AC73" s="196" t="s">
        <v>335</v>
      </c>
      <c r="AD73" s="196" t="s">
        <v>336</v>
      </c>
      <c r="AE73" s="196" t="s">
        <v>337</v>
      </c>
      <c r="AF73" s="196" t="s">
        <v>335</v>
      </c>
      <c r="AG73" s="196" t="s">
        <v>336</v>
      </c>
      <c r="AH73" s="196" t="s">
        <v>337</v>
      </c>
      <c r="AI73" s="196" t="s">
        <v>363</v>
      </c>
      <c r="AJ73" s="196" t="s">
        <v>365</v>
      </c>
      <c r="AK73" s="196" t="s">
        <v>335</v>
      </c>
      <c r="AL73" s="196" t="s">
        <v>336</v>
      </c>
      <c r="AM73" s="196" t="s">
        <v>337</v>
      </c>
      <c r="AN73" s="196" t="s">
        <v>364</v>
      </c>
      <c r="AO73" s="196" t="s">
        <v>366</v>
      </c>
      <c r="AP73" s="194" t="s">
        <v>346</v>
      </c>
      <c r="AQ73" s="194" t="s">
        <v>346</v>
      </c>
      <c r="AR73" s="194" t="s">
        <v>346</v>
      </c>
      <c r="AS73" s="194" t="s">
        <v>346</v>
      </c>
      <c r="AT73" s="197" t="s">
        <v>347</v>
      </c>
      <c r="AU73" s="197" t="s">
        <v>347</v>
      </c>
      <c r="AV73" s="197" t="s">
        <v>347</v>
      </c>
      <c r="AW73" s="197" t="s">
        <v>347</v>
      </c>
      <c r="AX73" s="196" t="s">
        <v>348</v>
      </c>
      <c r="AY73" s="196" t="s">
        <v>348</v>
      </c>
      <c r="AZ73" s="196" t="s">
        <v>348</v>
      </c>
      <c r="BA73" s="196" t="s">
        <v>348</v>
      </c>
    </row>
    <row r="74" spans="1:64" ht="15" customHeight="1" x14ac:dyDescent="0.25">
      <c r="B74" s="357" t="s">
        <v>354</v>
      </c>
      <c r="C74" s="357"/>
      <c r="D74" s="357"/>
      <c r="E74" s="357"/>
      <c r="F74" s="357"/>
      <c r="G74" s="357"/>
      <c r="H74" s="357"/>
      <c r="I74" s="357"/>
      <c r="J74" s="357"/>
      <c r="K74" s="357"/>
      <c r="L74" s="357"/>
      <c r="M74" s="357"/>
      <c r="N74" s="357"/>
      <c r="O74" s="163"/>
      <c r="P74" s="36"/>
      <c r="Q74" s="36"/>
      <c r="R74" s="36"/>
      <c r="S74" s="36"/>
      <c r="T74" s="36"/>
      <c r="U74" s="36"/>
      <c r="V74" s="36"/>
      <c r="Y74" s="113" t="s">
        <v>242</v>
      </c>
      <c r="Z74" s="92" t="s">
        <v>245</v>
      </c>
      <c r="AA74" s="92" t="s">
        <v>246</v>
      </c>
      <c r="AB74" s="92" t="s">
        <v>246</v>
      </c>
      <c r="AC74" s="203"/>
      <c r="AD74" s="203"/>
      <c r="AE74" s="203"/>
      <c r="AF74" s="203"/>
      <c r="AG74" s="203"/>
      <c r="AH74" s="203"/>
      <c r="AI74" s="203"/>
      <c r="AJ74" s="207" t="s">
        <v>246</v>
      </c>
      <c r="AK74" s="203"/>
      <c r="AL74" s="203"/>
      <c r="AM74" s="203"/>
      <c r="AN74" s="203"/>
      <c r="AO74" s="92" t="s">
        <v>246</v>
      </c>
      <c r="AP74" s="92" t="s">
        <v>246</v>
      </c>
      <c r="AQ74" s="92" t="s">
        <v>246</v>
      </c>
      <c r="AR74" s="92" t="s">
        <v>246</v>
      </c>
      <c r="AS74" s="92" t="s">
        <v>246</v>
      </c>
      <c r="AT74" s="93"/>
      <c r="AU74" s="114"/>
      <c r="AV74" s="114"/>
      <c r="AW74" s="114"/>
      <c r="AX74" s="114"/>
      <c r="AY74" s="114"/>
      <c r="AZ74" s="114"/>
      <c r="BA74" s="114"/>
      <c r="BB74" s="176"/>
    </row>
    <row r="75" spans="1:64" ht="15.75" thickBot="1" x14ac:dyDescent="0.3">
      <c r="B75" s="12"/>
      <c r="C75" s="11"/>
      <c r="D75" s="11"/>
      <c r="E75" s="11"/>
      <c r="F75" s="11"/>
      <c r="G75" s="11"/>
      <c r="H75" s="11"/>
      <c r="I75" s="11"/>
      <c r="J75" s="11"/>
      <c r="K75" s="13"/>
      <c r="O75" s="341" t="str">
        <f>IF(AND(F65&lt;=0.01,G65&lt;=0.01,F66&lt;=0.01,G66&lt;=0.01),"NO CORRECTIONS NEEDED","ENTER CORRECTIONS")</f>
        <v>NO CORRECTIONS NEEDED</v>
      </c>
      <c r="P75" s="341"/>
      <c r="Q75" s="341"/>
      <c r="R75" s="341"/>
      <c r="S75" s="36"/>
      <c r="T75" s="36"/>
      <c r="U75" s="36"/>
      <c r="V75" s="36"/>
      <c r="Y75" s="113" t="s">
        <v>243</v>
      </c>
      <c r="Z75" s="92" t="s">
        <v>247</v>
      </c>
      <c r="AA75" s="92" t="s">
        <v>248</v>
      </c>
      <c r="AB75" s="92" t="s">
        <v>247</v>
      </c>
      <c r="AC75" s="203"/>
      <c r="AD75" s="203"/>
      <c r="AE75" s="203"/>
      <c r="AF75" s="203"/>
      <c r="AG75" s="203"/>
      <c r="AH75" s="203"/>
      <c r="AI75" s="203"/>
      <c r="AJ75" s="207" t="s">
        <v>248</v>
      </c>
      <c r="AK75" s="203"/>
      <c r="AL75" s="203"/>
      <c r="AM75" s="203"/>
      <c r="AN75" s="203"/>
      <c r="AO75" s="92" t="s">
        <v>247</v>
      </c>
      <c r="AP75" s="92" t="s">
        <v>248</v>
      </c>
      <c r="AQ75" s="92" t="s">
        <v>248</v>
      </c>
      <c r="AR75" s="92" t="s">
        <v>247</v>
      </c>
      <c r="AS75" s="92" t="s">
        <v>247</v>
      </c>
      <c r="AT75" s="93"/>
      <c r="AU75" s="114"/>
      <c r="AV75" s="114"/>
      <c r="AW75" s="114"/>
      <c r="AX75" s="114"/>
      <c r="AY75" s="114"/>
      <c r="AZ75" s="114"/>
      <c r="BA75" s="114"/>
      <c r="BB75" s="176"/>
    </row>
    <row r="76" spans="1:64" ht="15" customHeight="1" x14ac:dyDescent="0.25">
      <c r="B76" s="358" t="s">
        <v>49</v>
      </c>
      <c r="C76" s="309" t="s">
        <v>350</v>
      </c>
      <c r="D76" s="360" t="s">
        <v>340</v>
      </c>
      <c r="E76" s="360" t="s">
        <v>50</v>
      </c>
      <c r="F76" s="309" t="s">
        <v>341</v>
      </c>
      <c r="G76" s="360" t="s">
        <v>342</v>
      </c>
      <c r="H76" s="360" t="s">
        <v>51</v>
      </c>
      <c r="I76" s="309" t="s">
        <v>351</v>
      </c>
      <c r="J76" s="360" t="s">
        <v>352</v>
      </c>
      <c r="K76" s="360" t="s">
        <v>52</v>
      </c>
      <c r="L76" s="309" t="s">
        <v>302</v>
      </c>
      <c r="M76" s="360" t="s">
        <v>249</v>
      </c>
      <c r="N76" s="360" t="s">
        <v>353</v>
      </c>
      <c r="O76" s="312" t="s">
        <v>289</v>
      </c>
      <c r="P76" s="312"/>
      <c r="Q76" s="312"/>
      <c r="R76" s="312"/>
      <c r="S76" s="356" t="s">
        <v>357</v>
      </c>
      <c r="T76" s="356"/>
      <c r="U76" s="356"/>
      <c r="V76" s="36"/>
      <c r="X76" s="313" t="s">
        <v>53</v>
      </c>
      <c r="Y76" s="113" t="s">
        <v>244</v>
      </c>
      <c r="Z76" s="92">
        <v>1</v>
      </c>
      <c r="AA76" s="92">
        <v>1.73</v>
      </c>
      <c r="AB76" s="92">
        <v>2</v>
      </c>
      <c r="AC76" s="203"/>
      <c r="AD76" s="203"/>
      <c r="AE76" s="203"/>
      <c r="AF76" s="203"/>
      <c r="AG76" s="203"/>
      <c r="AH76" s="203"/>
      <c r="AI76" s="203"/>
      <c r="AJ76" s="207">
        <v>1.73</v>
      </c>
      <c r="AK76" s="203"/>
      <c r="AL76" s="203"/>
      <c r="AM76" s="203"/>
      <c r="AN76" s="203"/>
      <c r="AO76" s="92">
        <v>2</v>
      </c>
      <c r="AP76" s="92">
        <f>2*1.73</f>
        <v>3.46</v>
      </c>
      <c r="AQ76" s="92">
        <f>2*1.73</f>
        <v>3.46</v>
      </c>
      <c r="AR76" s="92">
        <v>2</v>
      </c>
      <c r="AS76" s="92">
        <v>2</v>
      </c>
      <c r="AT76" s="93"/>
      <c r="AU76" s="114"/>
      <c r="AV76" s="114"/>
      <c r="AW76" s="114"/>
      <c r="AX76" s="114"/>
      <c r="AY76" s="114"/>
      <c r="AZ76" s="114"/>
      <c r="BA76" s="114"/>
      <c r="BB76" s="176"/>
      <c r="BC76" s="386" t="s">
        <v>287</v>
      </c>
      <c r="BD76" s="387"/>
      <c r="BE76" s="387"/>
      <c r="BF76" s="387"/>
      <c r="BG76" s="388"/>
    </row>
    <row r="77" spans="1:64" ht="22.5" customHeight="1" x14ac:dyDescent="0.25">
      <c r="B77" s="359"/>
      <c r="C77" s="310"/>
      <c r="D77" s="361"/>
      <c r="E77" s="361"/>
      <c r="F77" s="310"/>
      <c r="G77" s="361"/>
      <c r="H77" s="361"/>
      <c r="I77" s="310"/>
      <c r="J77" s="361"/>
      <c r="K77" s="361"/>
      <c r="L77" s="310"/>
      <c r="M77" s="361"/>
      <c r="N77" s="361"/>
      <c r="O77" s="165" t="s">
        <v>230</v>
      </c>
      <c r="P77" s="165" t="s">
        <v>231</v>
      </c>
      <c r="Q77" s="389" t="s">
        <v>291</v>
      </c>
      <c r="R77" s="389"/>
      <c r="S77" s="201" t="s">
        <v>335</v>
      </c>
      <c r="T77" s="201" t="s">
        <v>336</v>
      </c>
      <c r="U77" s="201" t="s">
        <v>337</v>
      </c>
      <c r="V77" s="36"/>
      <c r="W77" s="158" t="s">
        <v>372</v>
      </c>
      <c r="X77" s="313"/>
      <c r="Y77" s="162" t="s">
        <v>277</v>
      </c>
      <c r="Z77" s="116"/>
      <c r="AA77" s="117" t="e">
        <f>VLOOKUP($E$36,'Calibration Standards'!$B$8:$K$11,9,FALSE)</f>
        <v>#N/A</v>
      </c>
      <c r="AB77" s="117" t="e">
        <f>VLOOKUP($E$36,'Calibration Standards'!$B$8:$K$11,10,FALSE)</f>
        <v>#N/A</v>
      </c>
      <c r="AC77" s="204"/>
      <c r="AD77" s="204"/>
      <c r="AE77" s="204"/>
      <c r="AF77" s="204"/>
      <c r="AG77" s="204"/>
      <c r="AH77" s="204"/>
      <c r="AI77" s="204"/>
      <c r="AJ77" s="204"/>
      <c r="AK77" s="204"/>
      <c r="AL77" s="204"/>
      <c r="AM77" s="204"/>
      <c r="AN77" s="204"/>
      <c r="AO77" s="117"/>
      <c r="AP77" s="118">
        <f>$G$18</f>
        <v>0</v>
      </c>
      <c r="AQ77" s="118">
        <f>$G$18</f>
        <v>0</v>
      </c>
      <c r="AR77" s="128">
        <f>0.0008%*ABS(L4-L5)</f>
        <v>0</v>
      </c>
      <c r="AS77" s="132">
        <v>1E-4</v>
      </c>
      <c r="AT77" s="116"/>
      <c r="AU77" s="116"/>
      <c r="AV77" s="116"/>
      <c r="AW77" s="116"/>
      <c r="AX77" s="116"/>
      <c r="AY77" s="116"/>
      <c r="AZ77" s="116"/>
      <c r="BA77" s="116"/>
      <c r="BB77" s="177"/>
      <c r="BC77" s="145" t="s">
        <v>49</v>
      </c>
      <c r="BD77" s="144" t="s">
        <v>50</v>
      </c>
      <c r="BE77" s="144" t="s">
        <v>51</v>
      </c>
      <c r="BF77" s="16" t="s">
        <v>288</v>
      </c>
      <c r="BG77" s="146" t="s">
        <v>288</v>
      </c>
    </row>
    <row r="78" spans="1:64" x14ac:dyDescent="0.25">
      <c r="A78" s="278" t="s">
        <v>424</v>
      </c>
      <c r="B78" s="88" t="e">
        <f>VLOOKUP(INDEX('Load Test Points'!$A$28:$B$67, MATCH($G$16,'Load Test Points'!$A$28:$A$67,0),2),'Load Test Points'!$A$4:$K$24,2,FALSE)</f>
        <v>#N/A</v>
      </c>
      <c r="C78" s="208" t="str">
        <f>IFERROR(IF(SUM($AC78:$AE78)=0,"-",SUM($AC78:$AE78)),"-")</f>
        <v>-</v>
      </c>
      <c r="D78" s="89"/>
      <c r="E78" s="131" t="str">
        <f t="shared" ref="E78:E87" si="1">IFERROR((C78-D78)/C78,"-")</f>
        <v>-</v>
      </c>
      <c r="F78" s="208" t="str">
        <f>IFERROR(IF(SUM($AC78:$AE78)=0,"-",SUM($AC78:$AE78)),"-")</f>
        <v>-</v>
      </c>
      <c r="G78" s="89"/>
      <c r="H78" s="131" t="str">
        <f t="shared" ref="H78:H87" si="2">IFERROR((F78-G78)/F78,"-")</f>
        <v>-</v>
      </c>
      <c r="I78" s="208" t="str">
        <f>IFERROR(IF(SUM($AC78:$AE78)=0,"-",SUM($AC78:$AE78)),"-")</f>
        <v>-</v>
      </c>
      <c r="J78" s="89"/>
      <c r="K78" s="131" t="str">
        <f t="shared" ref="K78:K87" si="3">IFERROR((I78-J78)/I78,"-")</f>
        <v>-</v>
      </c>
      <c r="L78" s="90" t="str">
        <f>IFERROR(ABS(E78-H78),"-")</f>
        <v>-</v>
      </c>
      <c r="M78" s="127" t="str">
        <f>IFERROR(IF($D$28="Starrett Deadweight",AZ78,AV78),"-")</f>
        <v>-</v>
      </c>
      <c r="N78" s="89" t="str">
        <f>IFERROR(IF($D$28="Starrett Deadweight",BA78,AW78),"-")</f>
        <v>-</v>
      </c>
      <c r="O78" s="199" t="str">
        <f>IFERROR((C78+F78+I78)/3,"-")</f>
        <v>-</v>
      </c>
      <c r="P78" s="199">
        <f t="shared" ref="P78:P87" si="4">(D78+G78+J78)/3</f>
        <v>0</v>
      </c>
      <c r="Q78" s="342" t="s">
        <v>292</v>
      </c>
      <c r="R78" s="342"/>
      <c r="S78" s="189" t="str">
        <f>IFERROR(VLOOKUP($B78,'Load Test Points'!$A$70:$D$89,2,FALSE),"-")</f>
        <v>-</v>
      </c>
      <c r="T78" s="189" t="str">
        <f>IFERROR(VLOOKUP($B78,'Load Test Points'!$A$70:$D$89,3,FALSE),"-")</f>
        <v>-</v>
      </c>
      <c r="U78" s="189" t="str">
        <f>IFERROR(VLOOKUP($B78,'Load Test Points'!$A$70:$D$89,4,FALSE),"-")</f>
        <v>-</v>
      </c>
      <c r="W78" s="159" t="e">
        <f>O78-P78</f>
        <v>#VALUE!</v>
      </c>
      <c r="X78" s="187" t="str">
        <f>IFERROR(W78/O78,"-")</f>
        <v>-</v>
      </c>
      <c r="Y78" s="119"/>
      <c r="Z78" s="120" t="e">
        <f t="shared" ref="Z78:Z87" si="5">ABS((X78*O78)/$Z$76)^2</f>
        <v>#VALUE!</v>
      </c>
      <c r="AA78" s="120" t="e">
        <f>((O78*$AA$77)/$AA$76)^2</f>
        <v>#VALUE!</v>
      </c>
      <c r="AB78" s="120" t="e">
        <f>(((O78*$AB$77)/$AB$76)/2)^2</f>
        <v>#VALUE!</v>
      </c>
      <c r="AC78" s="120" t="str">
        <f>IFERROR(VLOOKUP(S78,'Calibration Standards'!$G$13:$M$23,7,FALSE),"-")</f>
        <v>-</v>
      </c>
      <c r="AD78" s="120" t="str">
        <f>IFERROR(VLOOKUP(T78,'Calibration Standards'!$G$13:$M$23,7,FALSE),"-")</f>
        <v>-</v>
      </c>
      <c r="AE78" s="120" t="str">
        <f>IFERROR(VLOOKUP(U78,'Calibration Standards'!$G$13:$M$23,7,FALSE),"-")</f>
        <v>-</v>
      </c>
      <c r="AF78" s="120">
        <f>IFERROR(VLOOKUP(S78,'Calibration Standards'!$G$13:$O$23,9,FALSE)-VLOOKUP(S78,'Calibration Standards'!$G$13:$O$23,8,FALSE),0)</f>
        <v>0</v>
      </c>
      <c r="AG78" s="120">
        <f>IFERROR(VLOOKUP(T78,'Calibration Standards'!$G$13:$O$23,9,FALSE)-VLOOKUP(T78,'Calibration Standards'!$G$13:$O$23,8,FALSE),0)</f>
        <v>0</v>
      </c>
      <c r="AH78" s="120">
        <f>IFERROR(VLOOKUP(U78,'Calibration Standards'!$G$13:$O$23,9,FALSE)-VLOOKUP(U78,'Calibration Standards'!$G$13:$O$23,8,FALSE),0)</f>
        <v>0</v>
      </c>
      <c r="AI78" s="120">
        <f>SUM(AF78:AH78)</f>
        <v>0</v>
      </c>
      <c r="AJ78" s="120">
        <f>(AI78/$AJ$76)^2</f>
        <v>0</v>
      </c>
      <c r="AK78" s="120">
        <f>IFERROR(VLOOKUP(S78,'Calibration Standards'!$G$13:$Q$23,11,FALSE),0)</f>
        <v>0</v>
      </c>
      <c r="AL78" s="120">
        <f>IFERROR(VLOOKUP(T78,'Calibration Standards'!$G$13:$Q$23,11,FALSE),0)</f>
        <v>0</v>
      </c>
      <c r="AM78" s="120">
        <f>IFERROR(VLOOKUP(U78,'Calibration Standards'!$G$13:$Q$23,11,FALSE),0)</f>
        <v>0</v>
      </c>
      <c r="AN78" s="120">
        <f>SUM(AK78:AM78)</f>
        <v>0</v>
      </c>
      <c r="AO78" s="120">
        <f>(AN78/$AO$76)^2</f>
        <v>0</v>
      </c>
      <c r="AP78" s="120">
        <f>$AP$77/$AP$76</f>
        <v>0</v>
      </c>
      <c r="AQ78" s="120">
        <f>$AQ$77/$AQ$76</f>
        <v>0</v>
      </c>
      <c r="AR78" s="120" t="e">
        <f t="shared" ref="AR78:AR87" si="6">((O78*$AR$77)/$AR$76)^2</f>
        <v>#VALUE!</v>
      </c>
      <c r="AS78" s="120" t="e">
        <f t="shared" ref="AS78:AS87" si="7">(O78*$AS$77)/$AS$76</f>
        <v>#VALUE!</v>
      </c>
      <c r="AT78" s="126" t="e">
        <f t="shared" ref="AT78:AT87" si="8">SUM(Z78:AB78,AP78:AS78)</f>
        <v>#VALUE!</v>
      </c>
      <c r="AU78" s="126" t="e">
        <f>SQRT(AT78)</f>
        <v>#VALUE!</v>
      </c>
      <c r="AV78" s="121" t="e">
        <f t="shared" ref="AV78:AV87" si="9">AW78/O78</f>
        <v>#VALUE!</v>
      </c>
      <c r="AW78" s="122" t="e">
        <f>AU78*2</f>
        <v>#VALUE!</v>
      </c>
      <c r="AX78" s="210" t="e">
        <f>SUM(Z78,AJ78,AO78,AP78,AQ78,AR78,AS78)</f>
        <v>#VALUE!</v>
      </c>
      <c r="AY78" s="210" t="e">
        <f>SQRT(AX78)</f>
        <v>#VALUE!</v>
      </c>
      <c r="AZ78" s="212" t="e">
        <f>AY78/O78</f>
        <v>#VALUE!</v>
      </c>
      <c r="BA78" s="210" t="e">
        <f>AY78*2</f>
        <v>#VALUE!</v>
      </c>
      <c r="BB78" s="178"/>
      <c r="BC78" s="145" t="e">
        <f t="shared" ref="BC78:BC87" si="10">B78</f>
        <v>#N/A</v>
      </c>
      <c r="BD78" s="147" t="str">
        <f t="shared" ref="BD78:BD87" si="11">E78</f>
        <v>-</v>
      </c>
      <c r="BE78" s="147" t="str">
        <f t="shared" ref="BE78:BE87" si="12">H78</f>
        <v>-</v>
      </c>
      <c r="BF78" s="133">
        <v>0.01</v>
      </c>
      <c r="BG78" s="148">
        <v>-0.01</v>
      </c>
      <c r="BH78" s="14"/>
      <c r="BJ78" s="14"/>
      <c r="BK78" s="14"/>
      <c r="BL78" s="14"/>
    </row>
    <row r="79" spans="1:64" x14ac:dyDescent="0.25">
      <c r="A79" s="278" t="s">
        <v>424</v>
      </c>
      <c r="B79" s="88" t="e">
        <f>VLOOKUP(INDEX('Load Test Points'!$A$28:$B$67, MATCH($G$16,'Load Test Points'!$A$28:$A$67,0),2),'Load Test Points'!$A$4:$K$24,3,FALSE)</f>
        <v>#N/A</v>
      </c>
      <c r="C79" s="209" t="str">
        <f t="shared" ref="C79:C86" si="13">IFERROR(IF(SUM($AC79:$AE79)=0,"-",SUM($AC79:$AE79)),"-")</f>
        <v>-</v>
      </c>
      <c r="D79" s="89"/>
      <c r="E79" s="131" t="str">
        <f t="shared" si="1"/>
        <v>-</v>
      </c>
      <c r="F79" s="209" t="str">
        <f t="shared" ref="F79:F86" si="14">IFERROR(IF(SUM($AC79:$AE79)=0,"-",SUM($AC79:$AE79)),"-")</f>
        <v>-</v>
      </c>
      <c r="G79" s="89"/>
      <c r="H79" s="131" t="str">
        <f t="shared" si="2"/>
        <v>-</v>
      </c>
      <c r="I79" s="209" t="str">
        <f t="shared" ref="I79:I86" si="15">IFERROR(IF(SUM($AC79:$AE79)=0,"-",SUM($AC79:$AE79)),"-")</f>
        <v>-</v>
      </c>
      <c r="J79" s="89"/>
      <c r="K79" s="131" t="str">
        <f t="shared" si="3"/>
        <v>-</v>
      </c>
      <c r="L79" s="90" t="str">
        <f t="shared" ref="L79:L87" si="16">IFERROR(ABS(E79-H79),"-")</f>
        <v>-</v>
      </c>
      <c r="M79" s="127" t="str">
        <f t="shared" ref="M79:M87" si="17">IFERROR(IF($D$28="Starrett Deadweight",AZ79,AV79),"-")</f>
        <v>-</v>
      </c>
      <c r="N79" s="89" t="str">
        <f t="shared" ref="N79:N87" si="18">IFERROR(IF($D$28="Starrett Deadweight",BA79,AW79),"-")</f>
        <v>-</v>
      </c>
      <c r="O79" s="199" t="str">
        <f t="shared" ref="O79:O87" si="19">IFERROR((C79+F79+I79)/3,"-")</f>
        <v>-</v>
      </c>
      <c r="P79" s="199">
        <f t="shared" si="4"/>
        <v>0</v>
      </c>
      <c r="Q79" s="342" t="s">
        <v>293</v>
      </c>
      <c r="R79" s="342"/>
      <c r="S79" s="189" t="str">
        <f>IFERROR(VLOOKUP($B79,'Load Test Points'!$A$70:$D$89,2,FALSE),"-")</f>
        <v>-</v>
      </c>
      <c r="T79" s="189" t="str">
        <f>IFERROR(VLOOKUP($B79,'Load Test Points'!$A$70:$D$89,3,FALSE),"-")</f>
        <v>-</v>
      </c>
      <c r="U79" s="189" t="str">
        <f>IFERROR(VLOOKUP($B79,'Load Test Points'!$A$70:$D$89,4,FALSE),"-")</f>
        <v>-</v>
      </c>
      <c r="W79" s="159" t="e">
        <f t="shared" ref="W79:W87" si="20">O79-P79</f>
        <v>#VALUE!</v>
      </c>
      <c r="X79" s="187" t="str">
        <f t="shared" ref="X79:X86" si="21">IFERROR(W79/O79,"-")</f>
        <v>-</v>
      </c>
      <c r="Y79" s="119"/>
      <c r="Z79" s="120" t="e">
        <f t="shared" si="5"/>
        <v>#VALUE!</v>
      </c>
      <c r="AA79" s="120" t="e">
        <f t="shared" ref="AA79:AA87" si="22">((O79*$AA$77)/$AA$76)^2</f>
        <v>#VALUE!</v>
      </c>
      <c r="AB79" s="120" t="e">
        <f t="shared" ref="AB79:AB87" si="23">(((O79*$AB$77)/$AB$76)/2)^2</f>
        <v>#VALUE!</v>
      </c>
      <c r="AC79" s="120" t="str">
        <f>IFERROR(VLOOKUP(S79,'Calibration Standards'!$G$13:$M$23,7,FALSE),"-")</f>
        <v>-</v>
      </c>
      <c r="AD79" s="120" t="str">
        <f>IFERROR(VLOOKUP(T79,'Calibration Standards'!$G$13:$M$23,7,FALSE),"-")</f>
        <v>-</v>
      </c>
      <c r="AE79" s="120" t="str">
        <f>IFERROR(VLOOKUP(U79,'Calibration Standards'!$G$13:$M$23,7,FALSE),"-")</f>
        <v>-</v>
      </c>
      <c r="AF79" s="120">
        <f>IFERROR(VLOOKUP(S79,'Calibration Standards'!$G$13:$O$23,9,FALSE)-VLOOKUP(S79,'Calibration Standards'!$G$13:$O$23,8,FALSE),0)</f>
        <v>0</v>
      </c>
      <c r="AG79" s="120">
        <f>IFERROR(VLOOKUP(T79,'Calibration Standards'!$G$13:$O$23,9,FALSE)-VLOOKUP(T79,'Calibration Standards'!$G$13:$O$23,8,FALSE),0)</f>
        <v>0</v>
      </c>
      <c r="AH79" s="120">
        <f>IFERROR(VLOOKUP(U79,'Calibration Standards'!$G$13:$O$23,9,FALSE)-VLOOKUP(U79,'Calibration Standards'!$G$13:$O$23,8,FALSE),0)</f>
        <v>0</v>
      </c>
      <c r="AI79" s="120">
        <f t="shared" ref="AI79:AI87" si="24">SUM(AF79:AH79)</f>
        <v>0</v>
      </c>
      <c r="AJ79" s="120">
        <f t="shared" ref="AJ79:AJ87" si="25">(AI79/$AJ$76)^2</f>
        <v>0</v>
      </c>
      <c r="AK79" s="120">
        <f>IFERROR(VLOOKUP(S79,'Calibration Standards'!$G$13:$Q$23,11,FALSE),0)</f>
        <v>0</v>
      </c>
      <c r="AL79" s="120">
        <f>IFERROR(VLOOKUP(T79,'Calibration Standards'!$G$13:$Q$23,11,FALSE),0)</f>
        <v>0</v>
      </c>
      <c r="AM79" s="120">
        <f>IFERROR(VLOOKUP(U79,'Calibration Standards'!$G$13:$Q$23,11,FALSE),0)</f>
        <v>0</v>
      </c>
      <c r="AN79" s="120">
        <f t="shared" ref="AN79:AN87" si="26">SUM(AK79:AM79)</f>
        <v>0</v>
      </c>
      <c r="AO79" s="120">
        <f t="shared" ref="AO79:AO87" si="27">(AN79/$AO$76)^2</f>
        <v>0</v>
      </c>
      <c r="AP79" s="120">
        <f t="shared" ref="AP79:AP87" si="28">$AP$77/$AP$76</f>
        <v>0</v>
      </c>
      <c r="AQ79" s="120">
        <f t="shared" ref="AQ79:AQ87" si="29">$AQ$77/$AQ$76</f>
        <v>0</v>
      </c>
      <c r="AR79" s="120" t="e">
        <f t="shared" si="6"/>
        <v>#VALUE!</v>
      </c>
      <c r="AS79" s="120" t="e">
        <f t="shared" si="7"/>
        <v>#VALUE!</v>
      </c>
      <c r="AT79" s="126" t="e">
        <f t="shared" si="8"/>
        <v>#VALUE!</v>
      </c>
      <c r="AU79" s="126" t="e">
        <f t="shared" ref="AU79:AU87" si="30">SQRT(AT79)</f>
        <v>#VALUE!</v>
      </c>
      <c r="AV79" s="121" t="e">
        <f t="shared" si="9"/>
        <v>#VALUE!</v>
      </c>
      <c r="AW79" s="122" t="e">
        <f t="shared" ref="AW79:AW87" si="31">AU79*2</f>
        <v>#VALUE!</v>
      </c>
      <c r="AX79" s="210" t="e">
        <f t="shared" ref="AX79:AX87" si="32">SUM(Z79,AJ79,AO79,AP79,AQ79,AR79,AS79)</f>
        <v>#VALUE!</v>
      </c>
      <c r="AY79" s="210" t="e">
        <f t="shared" ref="AY79:AY87" si="33">SQRT(AX79)</f>
        <v>#VALUE!</v>
      </c>
      <c r="AZ79" s="212" t="e">
        <f t="shared" ref="AZ79:AZ87" si="34">AY79/O79</f>
        <v>#VALUE!</v>
      </c>
      <c r="BA79" s="210" t="e">
        <f t="shared" ref="BA79:BA87" si="35">AY79*2</f>
        <v>#VALUE!</v>
      </c>
      <c r="BB79" s="178"/>
      <c r="BC79" s="145" t="e">
        <f t="shared" si="10"/>
        <v>#N/A</v>
      </c>
      <c r="BD79" s="147" t="str">
        <f t="shared" si="11"/>
        <v>-</v>
      </c>
      <c r="BE79" s="147" t="str">
        <f t="shared" si="12"/>
        <v>-</v>
      </c>
      <c r="BF79" s="133">
        <v>0.01</v>
      </c>
      <c r="BG79" s="148">
        <v>-0.01</v>
      </c>
      <c r="BH79" s="14"/>
      <c r="BJ79" s="14"/>
      <c r="BK79" s="14"/>
      <c r="BL79" s="14"/>
    </row>
    <row r="80" spans="1:64" x14ac:dyDescent="0.25">
      <c r="A80" s="278" t="s">
        <v>424</v>
      </c>
      <c r="B80" s="88" t="e">
        <f>VLOOKUP(INDEX('Load Test Points'!$A$28:$B$67, MATCH($G$16,'Load Test Points'!$A$28:$A$67,0),2),'Load Test Points'!$A$4:$K$24,4,FALSE)</f>
        <v>#N/A</v>
      </c>
      <c r="C80" s="209" t="str">
        <f t="shared" si="13"/>
        <v>-</v>
      </c>
      <c r="D80" s="89"/>
      <c r="E80" s="131" t="str">
        <f t="shared" si="1"/>
        <v>-</v>
      </c>
      <c r="F80" s="209" t="str">
        <f t="shared" si="14"/>
        <v>-</v>
      </c>
      <c r="G80" s="89"/>
      <c r="H80" s="131" t="str">
        <f t="shared" si="2"/>
        <v>-</v>
      </c>
      <c r="I80" s="209" t="str">
        <f t="shared" si="15"/>
        <v>-</v>
      </c>
      <c r="J80" s="89"/>
      <c r="K80" s="131" t="str">
        <f t="shared" si="3"/>
        <v>-</v>
      </c>
      <c r="L80" s="90" t="str">
        <f t="shared" si="16"/>
        <v>-</v>
      </c>
      <c r="M80" s="127" t="str">
        <f t="shared" si="17"/>
        <v>-</v>
      </c>
      <c r="N80" s="89" t="str">
        <f t="shared" si="18"/>
        <v>-</v>
      </c>
      <c r="O80" s="199" t="str">
        <f t="shared" si="19"/>
        <v>-</v>
      </c>
      <c r="P80" s="199">
        <f t="shared" si="4"/>
        <v>0</v>
      </c>
      <c r="Q80" s="342" t="s">
        <v>294</v>
      </c>
      <c r="R80" s="342"/>
      <c r="S80" s="189" t="str">
        <f>IFERROR(VLOOKUP($B80,'Load Test Points'!$A$70:$D$89,2,FALSE),"-")</f>
        <v>-</v>
      </c>
      <c r="T80" s="189" t="str">
        <f>IFERROR(VLOOKUP($B80,'Load Test Points'!$A$70:$D$89,3,FALSE),"-")</f>
        <v>-</v>
      </c>
      <c r="U80" s="189" t="str">
        <f>IFERROR(VLOOKUP($B80,'Load Test Points'!$A$70:$D$89,4,FALSE),"-")</f>
        <v>-</v>
      </c>
      <c r="W80" s="159" t="e">
        <f t="shared" si="20"/>
        <v>#VALUE!</v>
      </c>
      <c r="X80" s="187" t="str">
        <f t="shared" si="21"/>
        <v>-</v>
      </c>
      <c r="Y80" s="119"/>
      <c r="Z80" s="120" t="e">
        <f t="shared" si="5"/>
        <v>#VALUE!</v>
      </c>
      <c r="AA80" s="120" t="e">
        <f t="shared" si="22"/>
        <v>#VALUE!</v>
      </c>
      <c r="AB80" s="120" t="e">
        <f t="shared" si="23"/>
        <v>#VALUE!</v>
      </c>
      <c r="AC80" s="120" t="str">
        <f>IFERROR(VLOOKUP(S80,'Calibration Standards'!$G$13:$M$23,7,FALSE),"-")</f>
        <v>-</v>
      </c>
      <c r="AD80" s="120" t="str">
        <f>IFERROR(VLOOKUP(T80,'Calibration Standards'!$G$13:$M$23,7,FALSE),"-")</f>
        <v>-</v>
      </c>
      <c r="AE80" s="120" t="str">
        <f>IFERROR(VLOOKUP(U80,'Calibration Standards'!$G$13:$M$23,7,FALSE),"-")</f>
        <v>-</v>
      </c>
      <c r="AF80" s="120">
        <f>IFERROR(VLOOKUP(S80,'Calibration Standards'!$G$13:$O$23,9,FALSE)-VLOOKUP(S80,'Calibration Standards'!$G$13:$O$23,8,FALSE),0)</f>
        <v>0</v>
      </c>
      <c r="AG80" s="120">
        <f>IFERROR(VLOOKUP(T80,'Calibration Standards'!$G$13:$O$23,9,FALSE)-VLOOKUP(T80,'Calibration Standards'!$G$13:$O$23,8,FALSE),0)</f>
        <v>0</v>
      </c>
      <c r="AH80" s="120">
        <f>IFERROR(VLOOKUP(U80,'Calibration Standards'!$G$13:$O$23,9,FALSE)-VLOOKUP(U80,'Calibration Standards'!$G$13:$O$23,8,FALSE),0)</f>
        <v>0</v>
      </c>
      <c r="AI80" s="120">
        <f t="shared" si="24"/>
        <v>0</v>
      </c>
      <c r="AJ80" s="120">
        <f t="shared" si="25"/>
        <v>0</v>
      </c>
      <c r="AK80" s="120">
        <f>IFERROR(VLOOKUP(S80,'Calibration Standards'!$G$13:$Q$23,11,FALSE),0)</f>
        <v>0</v>
      </c>
      <c r="AL80" s="120">
        <f>IFERROR(VLOOKUP(T80,'Calibration Standards'!$G$13:$Q$23,11,FALSE),0)</f>
        <v>0</v>
      </c>
      <c r="AM80" s="120">
        <f>IFERROR(VLOOKUP(U80,'Calibration Standards'!$G$13:$Q$23,11,FALSE),0)</f>
        <v>0</v>
      </c>
      <c r="AN80" s="120">
        <f t="shared" si="26"/>
        <v>0</v>
      </c>
      <c r="AO80" s="120">
        <f t="shared" si="27"/>
        <v>0</v>
      </c>
      <c r="AP80" s="120">
        <f t="shared" si="28"/>
        <v>0</v>
      </c>
      <c r="AQ80" s="120">
        <f t="shared" si="29"/>
        <v>0</v>
      </c>
      <c r="AR80" s="120" t="e">
        <f t="shared" si="6"/>
        <v>#VALUE!</v>
      </c>
      <c r="AS80" s="120" t="e">
        <f t="shared" si="7"/>
        <v>#VALUE!</v>
      </c>
      <c r="AT80" s="126" t="e">
        <f t="shared" si="8"/>
        <v>#VALUE!</v>
      </c>
      <c r="AU80" s="126" t="e">
        <f t="shared" si="30"/>
        <v>#VALUE!</v>
      </c>
      <c r="AV80" s="121" t="e">
        <f t="shared" si="9"/>
        <v>#VALUE!</v>
      </c>
      <c r="AW80" s="122" t="e">
        <f t="shared" si="31"/>
        <v>#VALUE!</v>
      </c>
      <c r="AX80" s="210" t="e">
        <f t="shared" si="32"/>
        <v>#VALUE!</v>
      </c>
      <c r="AY80" s="210" t="e">
        <f t="shared" si="33"/>
        <v>#VALUE!</v>
      </c>
      <c r="AZ80" s="212" t="e">
        <f t="shared" si="34"/>
        <v>#VALUE!</v>
      </c>
      <c r="BA80" s="210" t="e">
        <f t="shared" si="35"/>
        <v>#VALUE!</v>
      </c>
      <c r="BB80" s="178"/>
      <c r="BC80" s="145" t="e">
        <f t="shared" si="10"/>
        <v>#N/A</v>
      </c>
      <c r="BD80" s="147" t="str">
        <f t="shared" si="11"/>
        <v>-</v>
      </c>
      <c r="BE80" s="147" t="str">
        <f t="shared" si="12"/>
        <v>-</v>
      </c>
      <c r="BF80" s="133">
        <v>0.01</v>
      </c>
      <c r="BG80" s="148">
        <v>-0.01</v>
      </c>
      <c r="BH80" s="14"/>
      <c r="BJ80" s="14"/>
      <c r="BK80" s="14"/>
      <c r="BL80" s="14"/>
    </row>
    <row r="81" spans="1:64" ht="15" customHeight="1" x14ac:dyDescent="0.25">
      <c r="A81" s="278" t="s">
        <v>424</v>
      </c>
      <c r="B81" s="88" t="e">
        <f>VLOOKUP(INDEX('Load Test Points'!$A$28:$B$67, MATCH($G$16,'Load Test Points'!$A$28:$A$67,0),2),'Load Test Points'!$A$4:$K$24,5,FALSE)</f>
        <v>#N/A</v>
      </c>
      <c r="C81" s="209" t="str">
        <f t="shared" si="13"/>
        <v>-</v>
      </c>
      <c r="D81" s="89"/>
      <c r="E81" s="131" t="str">
        <f t="shared" si="1"/>
        <v>-</v>
      </c>
      <c r="F81" s="209" t="str">
        <f t="shared" si="14"/>
        <v>-</v>
      </c>
      <c r="G81" s="89"/>
      <c r="H81" s="131" t="str">
        <f t="shared" si="2"/>
        <v>-</v>
      </c>
      <c r="I81" s="209" t="str">
        <f t="shared" si="15"/>
        <v>-</v>
      </c>
      <c r="J81" s="89"/>
      <c r="K81" s="131" t="str">
        <f t="shared" si="3"/>
        <v>-</v>
      </c>
      <c r="L81" s="90" t="str">
        <f t="shared" si="16"/>
        <v>-</v>
      </c>
      <c r="M81" s="127" t="str">
        <f t="shared" si="17"/>
        <v>-</v>
      </c>
      <c r="N81" s="89" t="str">
        <f t="shared" si="18"/>
        <v>-</v>
      </c>
      <c r="O81" s="199" t="str">
        <f t="shared" si="19"/>
        <v>-</v>
      </c>
      <c r="P81" s="199">
        <f t="shared" si="4"/>
        <v>0</v>
      </c>
      <c r="Q81" s="342" t="s">
        <v>295</v>
      </c>
      <c r="R81" s="342"/>
      <c r="S81" s="189" t="str">
        <f>IFERROR(VLOOKUP($B81,'Load Test Points'!$A$70:$D$89,2,FALSE),"-")</f>
        <v>-</v>
      </c>
      <c r="T81" s="189" t="str">
        <f>IFERROR(VLOOKUP($B81,'Load Test Points'!$A$70:$D$89,3,FALSE),"-")</f>
        <v>-</v>
      </c>
      <c r="U81" s="189" t="str">
        <f>IFERROR(VLOOKUP($B81,'Load Test Points'!$A$70:$D$89,4,FALSE),"-")</f>
        <v>-</v>
      </c>
      <c r="W81" s="159" t="e">
        <f t="shared" si="20"/>
        <v>#VALUE!</v>
      </c>
      <c r="X81" s="187" t="str">
        <f t="shared" si="21"/>
        <v>-</v>
      </c>
      <c r="Y81" s="119"/>
      <c r="Z81" s="120" t="e">
        <f t="shared" si="5"/>
        <v>#VALUE!</v>
      </c>
      <c r="AA81" s="120" t="e">
        <f t="shared" si="22"/>
        <v>#VALUE!</v>
      </c>
      <c r="AB81" s="120" t="e">
        <f t="shared" si="23"/>
        <v>#VALUE!</v>
      </c>
      <c r="AC81" s="120" t="str">
        <f>IFERROR(VLOOKUP(S81,'Calibration Standards'!$G$13:$M$23,7,FALSE),"-")</f>
        <v>-</v>
      </c>
      <c r="AD81" s="120" t="str">
        <f>IFERROR(VLOOKUP(T81,'Calibration Standards'!$G$13:$M$23,7,FALSE),"-")</f>
        <v>-</v>
      </c>
      <c r="AE81" s="120" t="str">
        <f>IFERROR(VLOOKUP(U81,'Calibration Standards'!$G$13:$M$23,7,FALSE),"-")</f>
        <v>-</v>
      </c>
      <c r="AF81" s="120">
        <f>IFERROR(VLOOKUP(S81,'Calibration Standards'!$G$13:$O$23,9,FALSE)-VLOOKUP(S81,'Calibration Standards'!$G$13:$O$23,8,FALSE),0)</f>
        <v>0</v>
      </c>
      <c r="AG81" s="120">
        <f>IFERROR(VLOOKUP(T81,'Calibration Standards'!$G$13:$O$23,9,FALSE)-VLOOKUP(T81,'Calibration Standards'!$G$13:$O$23,8,FALSE),0)</f>
        <v>0</v>
      </c>
      <c r="AH81" s="120">
        <f>IFERROR(VLOOKUP(U81,'Calibration Standards'!$G$13:$O$23,9,FALSE)-VLOOKUP(U81,'Calibration Standards'!$G$13:$O$23,8,FALSE),0)</f>
        <v>0</v>
      </c>
      <c r="AI81" s="120">
        <f t="shared" si="24"/>
        <v>0</v>
      </c>
      <c r="AJ81" s="120">
        <f t="shared" si="25"/>
        <v>0</v>
      </c>
      <c r="AK81" s="120">
        <f>IFERROR(VLOOKUP(S81,'Calibration Standards'!$G$13:$Q$23,11,FALSE),0)</f>
        <v>0</v>
      </c>
      <c r="AL81" s="120">
        <f>IFERROR(VLOOKUP(T81,'Calibration Standards'!$G$13:$Q$23,11,FALSE),0)</f>
        <v>0</v>
      </c>
      <c r="AM81" s="120">
        <f>IFERROR(VLOOKUP(U81,'Calibration Standards'!$G$13:$Q$23,11,FALSE),0)</f>
        <v>0</v>
      </c>
      <c r="AN81" s="120">
        <f t="shared" si="26"/>
        <v>0</v>
      </c>
      <c r="AO81" s="120">
        <f t="shared" si="27"/>
        <v>0</v>
      </c>
      <c r="AP81" s="120">
        <f t="shared" si="28"/>
        <v>0</v>
      </c>
      <c r="AQ81" s="120">
        <f t="shared" si="29"/>
        <v>0</v>
      </c>
      <c r="AR81" s="120" t="e">
        <f t="shared" si="6"/>
        <v>#VALUE!</v>
      </c>
      <c r="AS81" s="120" t="e">
        <f t="shared" si="7"/>
        <v>#VALUE!</v>
      </c>
      <c r="AT81" s="126" t="e">
        <f t="shared" si="8"/>
        <v>#VALUE!</v>
      </c>
      <c r="AU81" s="126" t="e">
        <f t="shared" si="30"/>
        <v>#VALUE!</v>
      </c>
      <c r="AV81" s="121" t="e">
        <f t="shared" si="9"/>
        <v>#VALUE!</v>
      </c>
      <c r="AW81" s="122" t="e">
        <f t="shared" si="31"/>
        <v>#VALUE!</v>
      </c>
      <c r="AX81" s="210" t="e">
        <f t="shared" si="32"/>
        <v>#VALUE!</v>
      </c>
      <c r="AY81" s="210" t="e">
        <f t="shared" si="33"/>
        <v>#VALUE!</v>
      </c>
      <c r="AZ81" s="212" t="e">
        <f t="shared" si="34"/>
        <v>#VALUE!</v>
      </c>
      <c r="BA81" s="210" t="e">
        <f t="shared" si="35"/>
        <v>#VALUE!</v>
      </c>
      <c r="BB81" s="178"/>
      <c r="BC81" s="145" t="e">
        <f t="shared" si="10"/>
        <v>#N/A</v>
      </c>
      <c r="BD81" s="147" t="str">
        <f t="shared" si="11"/>
        <v>-</v>
      </c>
      <c r="BE81" s="147" t="str">
        <f t="shared" si="12"/>
        <v>-</v>
      </c>
      <c r="BF81" s="133">
        <v>0.01</v>
      </c>
      <c r="BG81" s="148">
        <v>-0.01</v>
      </c>
      <c r="BH81" s="14"/>
      <c r="BJ81" s="14"/>
      <c r="BK81" s="14"/>
      <c r="BL81" s="14"/>
    </row>
    <row r="82" spans="1:64" x14ac:dyDescent="0.25">
      <c r="A82" s="278" t="s">
        <v>424</v>
      </c>
      <c r="B82" s="88" t="e">
        <f>VLOOKUP(INDEX('Load Test Points'!$A$28:$B$67, MATCH($G$16,'Load Test Points'!$A$28:$A$67,0),2),'Load Test Points'!$A$4:$K$24,6,FALSE)</f>
        <v>#N/A</v>
      </c>
      <c r="C82" s="209" t="str">
        <f t="shared" si="13"/>
        <v>-</v>
      </c>
      <c r="D82" s="89"/>
      <c r="E82" s="131" t="str">
        <f t="shared" si="1"/>
        <v>-</v>
      </c>
      <c r="F82" s="209" t="str">
        <f t="shared" si="14"/>
        <v>-</v>
      </c>
      <c r="G82" s="89"/>
      <c r="H82" s="131" t="str">
        <f t="shared" si="2"/>
        <v>-</v>
      </c>
      <c r="I82" s="209" t="str">
        <f t="shared" si="15"/>
        <v>-</v>
      </c>
      <c r="J82" s="89"/>
      <c r="K82" s="131" t="str">
        <f t="shared" si="3"/>
        <v>-</v>
      </c>
      <c r="L82" s="90" t="str">
        <f t="shared" si="16"/>
        <v>-</v>
      </c>
      <c r="M82" s="127" t="str">
        <f t="shared" si="17"/>
        <v>-</v>
      </c>
      <c r="N82" s="89" t="str">
        <f t="shared" si="18"/>
        <v>-</v>
      </c>
      <c r="O82" s="199" t="str">
        <f t="shared" si="19"/>
        <v>-</v>
      </c>
      <c r="P82" s="199">
        <f t="shared" si="4"/>
        <v>0</v>
      </c>
      <c r="Q82" s="342" t="s">
        <v>296</v>
      </c>
      <c r="R82" s="342"/>
      <c r="S82" s="189" t="str">
        <f>IFERROR(VLOOKUP($B82,'Load Test Points'!$A$70:$D$89,2,FALSE),"-")</f>
        <v>-</v>
      </c>
      <c r="T82" s="189" t="str">
        <f>IFERROR(VLOOKUP($B82,'Load Test Points'!$A$70:$D$89,3,FALSE),"-")</f>
        <v>-</v>
      </c>
      <c r="U82" s="189" t="str">
        <f>IFERROR(VLOOKUP($B82,'Load Test Points'!$A$70:$D$89,4,FALSE),"-")</f>
        <v>-</v>
      </c>
      <c r="W82" s="159" t="e">
        <f t="shared" si="20"/>
        <v>#VALUE!</v>
      </c>
      <c r="X82" s="187" t="str">
        <f t="shared" si="21"/>
        <v>-</v>
      </c>
      <c r="Y82" s="119"/>
      <c r="Z82" s="120" t="e">
        <f t="shared" si="5"/>
        <v>#VALUE!</v>
      </c>
      <c r="AA82" s="120" t="e">
        <f t="shared" si="22"/>
        <v>#VALUE!</v>
      </c>
      <c r="AB82" s="120" t="e">
        <f t="shared" si="23"/>
        <v>#VALUE!</v>
      </c>
      <c r="AC82" s="120" t="str">
        <f>IFERROR(VLOOKUP(S82,'Calibration Standards'!$G$13:$M$23,7,FALSE),"-")</f>
        <v>-</v>
      </c>
      <c r="AD82" s="120" t="str">
        <f>IFERROR(VLOOKUP(T82,'Calibration Standards'!$G$13:$M$23,7,FALSE),"-")</f>
        <v>-</v>
      </c>
      <c r="AE82" s="120" t="str">
        <f>IFERROR(VLOOKUP(U82,'Calibration Standards'!$G$13:$M$23,7,FALSE),"-")</f>
        <v>-</v>
      </c>
      <c r="AF82" s="120">
        <f>IFERROR(VLOOKUP(S82,'Calibration Standards'!$G$13:$O$23,9,FALSE)-VLOOKUP(S82,'Calibration Standards'!$G$13:$O$23,8,FALSE),0)</f>
        <v>0</v>
      </c>
      <c r="AG82" s="120">
        <f>IFERROR(VLOOKUP(T82,'Calibration Standards'!$G$13:$O$23,9,FALSE)-VLOOKUP(T82,'Calibration Standards'!$G$13:$O$23,8,FALSE),0)</f>
        <v>0</v>
      </c>
      <c r="AH82" s="120">
        <f>IFERROR(VLOOKUP(U82,'Calibration Standards'!$G$13:$O$23,9,FALSE)-VLOOKUP(U82,'Calibration Standards'!$G$13:$O$23,8,FALSE),0)</f>
        <v>0</v>
      </c>
      <c r="AI82" s="120">
        <f t="shared" si="24"/>
        <v>0</v>
      </c>
      <c r="AJ82" s="120">
        <f t="shared" si="25"/>
        <v>0</v>
      </c>
      <c r="AK82" s="120">
        <f>IFERROR(VLOOKUP(S82,'Calibration Standards'!$G$13:$Q$23,11,FALSE),0)</f>
        <v>0</v>
      </c>
      <c r="AL82" s="120">
        <f>IFERROR(VLOOKUP(T82,'Calibration Standards'!$G$13:$Q$23,11,FALSE),0)</f>
        <v>0</v>
      </c>
      <c r="AM82" s="120">
        <f>IFERROR(VLOOKUP(U82,'Calibration Standards'!$G$13:$Q$23,11,FALSE),0)</f>
        <v>0</v>
      </c>
      <c r="AN82" s="120">
        <f t="shared" si="26"/>
        <v>0</v>
      </c>
      <c r="AO82" s="120">
        <f t="shared" si="27"/>
        <v>0</v>
      </c>
      <c r="AP82" s="120">
        <f t="shared" si="28"/>
        <v>0</v>
      </c>
      <c r="AQ82" s="120">
        <f t="shared" si="29"/>
        <v>0</v>
      </c>
      <c r="AR82" s="120" t="e">
        <f t="shared" si="6"/>
        <v>#VALUE!</v>
      </c>
      <c r="AS82" s="120" t="e">
        <f t="shared" si="7"/>
        <v>#VALUE!</v>
      </c>
      <c r="AT82" s="126" t="e">
        <f t="shared" si="8"/>
        <v>#VALUE!</v>
      </c>
      <c r="AU82" s="126" t="e">
        <f t="shared" si="30"/>
        <v>#VALUE!</v>
      </c>
      <c r="AV82" s="121" t="e">
        <f t="shared" si="9"/>
        <v>#VALUE!</v>
      </c>
      <c r="AW82" s="122" t="e">
        <f t="shared" si="31"/>
        <v>#VALUE!</v>
      </c>
      <c r="AX82" s="210" t="e">
        <f t="shared" si="32"/>
        <v>#VALUE!</v>
      </c>
      <c r="AY82" s="210" t="e">
        <f t="shared" si="33"/>
        <v>#VALUE!</v>
      </c>
      <c r="AZ82" s="212" t="e">
        <f t="shared" si="34"/>
        <v>#VALUE!</v>
      </c>
      <c r="BA82" s="210" t="e">
        <f t="shared" si="35"/>
        <v>#VALUE!</v>
      </c>
      <c r="BB82" s="178"/>
      <c r="BC82" s="145" t="e">
        <f t="shared" si="10"/>
        <v>#N/A</v>
      </c>
      <c r="BD82" s="147" t="str">
        <f t="shared" si="11"/>
        <v>-</v>
      </c>
      <c r="BE82" s="147" t="str">
        <f t="shared" si="12"/>
        <v>-</v>
      </c>
      <c r="BF82" s="133">
        <v>0.01</v>
      </c>
      <c r="BG82" s="148">
        <v>-0.01</v>
      </c>
      <c r="BH82" s="14"/>
      <c r="BJ82" s="14"/>
      <c r="BK82" s="14"/>
      <c r="BL82" s="14"/>
    </row>
    <row r="83" spans="1:64" x14ac:dyDescent="0.25">
      <c r="A83" s="278" t="s">
        <v>424</v>
      </c>
      <c r="B83" s="88" t="e">
        <f>VLOOKUP(INDEX('Load Test Points'!$A$28:$B$67, MATCH($G$16,'Load Test Points'!$A$28:$A$67,0),2),'Load Test Points'!$A$4:$K$24,7,FALSE)</f>
        <v>#N/A</v>
      </c>
      <c r="C83" s="209" t="str">
        <f t="shared" si="13"/>
        <v>-</v>
      </c>
      <c r="D83" s="89"/>
      <c r="E83" s="131" t="str">
        <f t="shared" si="1"/>
        <v>-</v>
      </c>
      <c r="F83" s="209" t="str">
        <f t="shared" si="14"/>
        <v>-</v>
      </c>
      <c r="G83" s="89"/>
      <c r="H83" s="131" t="str">
        <f t="shared" si="2"/>
        <v>-</v>
      </c>
      <c r="I83" s="209" t="str">
        <f t="shared" si="15"/>
        <v>-</v>
      </c>
      <c r="J83" s="89"/>
      <c r="K83" s="131" t="str">
        <f t="shared" si="3"/>
        <v>-</v>
      </c>
      <c r="L83" s="90" t="str">
        <f t="shared" si="16"/>
        <v>-</v>
      </c>
      <c r="M83" s="127" t="str">
        <f t="shared" si="17"/>
        <v>-</v>
      </c>
      <c r="N83" s="89" t="str">
        <f t="shared" si="18"/>
        <v>-</v>
      </c>
      <c r="O83" s="199" t="str">
        <f t="shared" si="19"/>
        <v>-</v>
      </c>
      <c r="P83" s="199">
        <f t="shared" si="4"/>
        <v>0</v>
      </c>
      <c r="Q83" s="342" t="s">
        <v>297</v>
      </c>
      <c r="R83" s="342"/>
      <c r="S83" s="189" t="str">
        <f>IFERROR(VLOOKUP($B83,'Load Test Points'!$A$70:$D$89,2,FALSE),"-")</f>
        <v>-</v>
      </c>
      <c r="T83" s="189" t="str">
        <f>IFERROR(VLOOKUP($B83,'Load Test Points'!$A$70:$D$89,3,FALSE),"-")</f>
        <v>-</v>
      </c>
      <c r="U83" s="189" t="str">
        <f>IFERROR(VLOOKUP($B83,'Load Test Points'!$A$70:$D$89,4,FALSE),"-")</f>
        <v>-</v>
      </c>
      <c r="W83" s="159" t="e">
        <f t="shared" si="20"/>
        <v>#VALUE!</v>
      </c>
      <c r="X83" s="187" t="str">
        <f t="shared" si="21"/>
        <v>-</v>
      </c>
      <c r="Y83" s="119"/>
      <c r="Z83" s="120" t="e">
        <f t="shared" si="5"/>
        <v>#VALUE!</v>
      </c>
      <c r="AA83" s="120" t="e">
        <f t="shared" si="22"/>
        <v>#VALUE!</v>
      </c>
      <c r="AB83" s="120" t="e">
        <f t="shared" si="23"/>
        <v>#VALUE!</v>
      </c>
      <c r="AC83" s="120" t="str">
        <f>IFERROR(VLOOKUP(S83,'Calibration Standards'!$G$13:$M$23,7,FALSE),"-")</f>
        <v>-</v>
      </c>
      <c r="AD83" s="120" t="str">
        <f>IFERROR(VLOOKUP(T83,'Calibration Standards'!$G$13:$M$23,7,FALSE),"-")</f>
        <v>-</v>
      </c>
      <c r="AE83" s="120" t="str">
        <f>IFERROR(VLOOKUP(U83,'Calibration Standards'!$G$13:$M$23,7,FALSE),"-")</f>
        <v>-</v>
      </c>
      <c r="AF83" s="120">
        <f>IFERROR(VLOOKUP(S83,'Calibration Standards'!$G$13:$O$23,9,FALSE)-VLOOKUP(S83,'Calibration Standards'!$G$13:$O$23,8,FALSE),0)</f>
        <v>0</v>
      </c>
      <c r="AG83" s="120">
        <f>IFERROR(VLOOKUP(T83,'Calibration Standards'!$G$13:$O$23,9,FALSE)-VLOOKUP(T83,'Calibration Standards'!$G$13:$O$23,8,FALSE),0)</f>
        <v>0</v>
      </c>
      <c r="AH83" s="120">
        <f>IFERROR(VLOOKUP(U83,'Calibration Standards'!$G$13:$O$23,9,FALSE)-VLOOKUP(U83,'Calibration Standards'!$G$13:$O$23,8,FALSE),0)</f>
        <v>0</v>
      </c>
      <c r="AI83" s="120">
        <f t="shared" si="24"/>
        <v>0</v>
      </c>
      <c r="AJ83" s="120">
        <f t="shared" si="25"/>
        <v>0</v>
      </c>
      <c r="AK83" s="120">
        <f>IFERROR(VLOOKUP(S83,'Calibration Standards'!$G$13:$Q$23,11,FALSE),0)</f>
        <v>0</v>
      </c>
      <c r="AL83" s="120">
        <f>IFERROR(VLOOKUP(T83,'Calibration Standards'!$G$13:$Q$23,11,FALSE),0)</f>
        <v>0</v>
      </c>
      <c r="AM83" s="120">
        <f>IFERROR(VLOOKUP(U83,'Calibration Standards'!$G$13:$Q$23,11,FALSE),0)</f>
        <v>0</v>
      </c>
      <c r="AN83" s="120">
        <f t="shared" si="26"/>
        <v>0</v>
      </c>
      <c r="AO83" s="120">
        <f t="shared" si="27"/>
        <v>0</v>
      </c>
      <c r="AP83" s="120">
        <f t="shared" si="28"/>
        <v>0</v>
      </c>
      <c r="AQ83" s="120">
        <f t="shared" si="29"/>
        <v>0</v>
      </c>
      <c r="AR83" s="120" t="e">
        <f t="shared" si="6"/>
        <v>#VALUE!</v>
      </c>
      <c r="AS83" s="120" t="e">
        <f t="shared" si="7"/>
        <v>#VALUE!</v>
      </c>
      <c r="AT83" s="126" t="e">
        <f t="shared" si="8"/>
        <v>#VALUE!</v>
      </c>
      <c r="AU83" s="126" t="e">
        <f t="shared" si="30"/>
        <v>#VALUE!</v>
      </c>
      <c r="AV83" s="121" t="e">
        <f t="shared" si="9"/>
        <v>#VALUE!</v>
      </c>
      <c r="AW83" s="122" t="e">
        <f t="shared" si="31"/>
        <v>#VALUE!</v>
      </c>
      <c r="AX83" s="210" t="e">
        <f t="shared" si="32"/>
        <v>#VALUE!</v>
      </c>
      <c r="AY83" s="210" t="e">
        <f t="shared" si="33"/>
        <v>#VALUE!</v>
      </c>
      <c r="AZ83" s="212" t="e">
        <f t="shared" si="34"/>
        <v>#VALUE!</v>
      </c>
      <c r="BA83" s="210" t="e">
        <f t="shared" si="35"/>
        <v>#VALUE!</v>
      </c>
      <c r="BB83" s="178"/>
      <c r="BC83" s="145" t="e">
        <f t="shared" si="10"/>
        <v>#N/A</v>
      </c>
      <c r="BD83" s="147" t="str">
        <f t="shared" si="11"/>
        <v>-</v>
      </c>
      <c r="BE83" s="147" t="str">
        <f t="shared" si="12"/>
        <v>-</v>
      </c>
      <c r="BF83" s="133">
        <v>0.01</v>
      </c>
      <c r="BG83" s="148">
        <v>-0.01</v>
      </c>
      <c r="BH83" s="14"/>
      <c r="BJ83" s="14"/>
      <c r="BK83" s="14"/>
      <c r="BL83" s="14"/>
    </row>
    <row r="84" spans="1:64" x14ac:dyDescent="0.25">
      <c r="A84" s="278" t="s">
        <v>424</v>
      </c>
      <c r="B84" s="88" t="e">
        <f>VLOOKUP(INDEX('Load Test Points'!$A$28:$B$67, MATCH($G$16,'Load Test Points'!$A$28:$A$67,0),2),'Load Test Points'!$A$4:$K$24,8,FALSE)</f>
        <v>#N/A</v>
      </c>
      <c r="C84" s="209" t="str">
        <f t="shared" si="13"/>
        <v>-</v>
      </c>
      <c r="D84" s="89"/>
      <c r="E84" s="131" t="str">
        <f t="shared" si="1"/>
        <v>-</v>
      </c>
      <c r="F84" s="209" t="str">
        <f t="shared" si="14"/>
        <v>-</v>
      </c>
      <c r="G84" s="89"/>
      <c r="H84" s="131" t="str">
        <f t="shared" si="2"/>
        <v>-</v>
      </c>
      <c r="I84" s="209" t="str">
        <f t="shared" si="15"/>
        <v>-</v>
      </c>
      <c r="J84" s="89"/>
      <c r="K84" s="131" t="str">
        <f t="shared" si="3"/>
        <v>-</v>
      </c>
      <c r="L84" s="90" t="str">
        <f t="shared" si="16"/>
        <v>-</v>
      </c>
      <c r="M84" s="127" t="str">
        <f t="shared" si="17"/>
        <v>-</v>
      </c>
      <c r="N84" s="89" t="str">
        <f t="shared" si="18"/>
        <v>-</v>
      </c>
      <c r="O84" s="199" t="str">
        <f t="shared" si="19"/>
        <v>-</v>
      </c>
      <c r="P84" s="199">
        <f t="shared" si="4"/>
        <v>0</v>
      </c>
      <c r="Q84" s="342" t="s">
        <v>298</v>
      </c>
      <c r="R84" s="342"/>
      <c r="S84" s="189" t="str">
        <f>IFERROR(VLOOKUP($B84,'Load Test Points'!$A$70:$D$89,2,FALSE),"-")</f>
        <v>-</v>
      </c>
      <c r="T84" s="189" t="str">
        <f>IFERROR(VLOOKUP($B84,'Load Test Points'!$A$70:$D$89,3,FALSE),"-")</f>
        <v>-</v>
      </c>
      <c r="U84" s="189" t="str">
        <f>IFERROR(VLOOKUP($B84,'Load Test Points'!$A$70:$D$89,4,FALSE),"-")</f>
        <v>-</v>
      </c>
      <c r="W84" s="159" t="e">
        <f t="shared" si="20"/>
        <v>#VALUE!</v>
      </c>
      <c r="X84" s="187" t="str">
        <f t="shared" si="21"/>
        <v>-</v>
      </c>
      <c r="Y84" s="119"/>
      <c r="Z84" s="120" t="e">
        <f t="shared" si="5"/>
        <v>#VALUE!</v>
      </c>
      <c r="AA84" s="120" t="e">
        <f t="shared" si="22"/>
        <v>#VALUE!</v>
      </c>
      <c r="AB84" s="120" t="e">
        <f t="shared" si="23"/>
        <v>#VALUE!</v>
      </c>
      <c r="AC84" s="120" t="str">
        <f>IFERROR(VLOOKUP(S84,'Calibration Standards'!$G$13:$M$23,7,FALSE),"-")</f>
        <v>-</v>
      </c>
      <c r="AD84" s="120" t="str">
        <f>IFERROR(VLOOKUP(T84,'Calibration Standards'!$G$13:$M$23,7,FALSE),"-")</f>
        <v>-</v>
      </c>
      <c r="AE84" s="120" t="str">
        <f>IFERROR(VLOOKUP(U84,'Calibration Standards'!$G$13:$M$23,7,FALSE),"-")</f>
        <v>-</v>
      </c>
      <c r="AF84" s="120">
        <f>IFERROR(VLOOKUP(S84,'Calibration Standards'!$G$13:$O$23,9,FALSE)-VLOOKUP(S84,'Calibration Standards'!$G$13:$O$23,8,FALSE),0)</f>
        <v>0</v>
      </c>
      <c r="AG84" s="120">
        <f>IFERROR(VLOOKUP(T84,'Calibration Standards'!$G$13:$O$23,9,FALSE)-VLOOKUP(T84,'Calibration Standards'!$G$13:$O$23,8,FALSE),0)</f>
        <v>0</v>
      </c>
      <c r="AH84" s="120">
        <f>IFERROR(VLOOKUP(U84,'Calibration Standards'!$G$13:$O$23,9,FALSE)-VLOOKUP(U84,'Calibration Standards'!$G$13:$O$23,8,FALSE),0)</f>
        <v>0</v>
      </c>
      <c r="AI84" s="120">
        <f t="shared" si="24"/>
        <v>0</v>
      </c>
      <c r="AJ84" s="120">
        <f t="shared" si="25"/>
        <v>0</v>
      </c>
      <c r="AK84" s="120">
        <f>IFERROR(VLOOKUP(S84,'Calibration Standards'!$G$13:$Q$23,11,FALSE),0)</f>
        <v>0</v>
      </c>
      <c r="AL84" s="120">
        <f>IFERROR(VLOOKUP(T84,'Calibration Standards'!$G$13:$Q$23,11,FALSE),0)</f>
        <v>0</v>
      </c>
      <c r="AM84" s="120">
        <f>IFERROR(VLOOKUP(U84,'Calibration Standards'!$G$13:$Q$23,11,FALSE),0)</f>
        <v>0</v>
      </c>
      <c r="AN84" s="120">
        <f t="shared" si="26"/>
        <v>0</v>
      </c>
      <c r="AO84" s="120">
        <f t="shared" si="27"/>
        <v>0</v>
      </c>
      <c r="AP84" s="120">
        <f t="shared" si="28"/>
        <v>0</v>
      </c>
      <c r="AQ84" s="120">
        <f t="shared" si="29"/>
        <v>0</v>
      </c>
      <c r="AR84" s="120" t="e">
        <f t="shared" si="6"/>
        <v>#VALUE!</v>
      </c>
      <c r="AS84" s="120" t="e">
        <f t="shared" si="7"/>
        <v>#VALUE!</v>
      </c>
      <c r="AT84" s="126" t="e">
        <f t="shared" si="8"/>
        <v>#VALUE!</v>
      </c>
      <c r="AU84" s="126" t="e">
        <f t="shared" si="30"/>
        <v>#VALUE!</v>
      </c>
      <c r="AV84" s="121" t="e">
        <f t="shared" si="9"/>
        <v>#VALUE!</v>
      </c>
      <c r="AW84" s="122" t="e">
        <f t="shared" si="31"/>
        <v>#VALUE!</v>
      </c>
      <c r="AX84" s="210" t="e">
        <f t="shared" si="32"/>
        <v>#VALUE!</v>
      </c>
      <c r="AY84" s="210" t="e">
        <f t="shared" si="33"/>
        <v>#VALUE!</v>
      </c>
      <c r="AZ84" s="212" t="e">
        <f t="shared" si="34"/>
        <v>#VALUE!</v>
      </c>
      <c r="BA84" s="210" t="e">
        <f t="shared" si="35"/>
        <v>#VALUE!</v>
      </c>
      <c r="BB84" s="178"/>
      <c r="BC84" s="145" t="e">
        <f t="shared" si="10"/>
        <v>#N/A</v>
      </c>
      <c r="BD84" s="147" t="str">
        <f t="shared" si="11"/>
        <v>-</v>
      </c>
      <c r="BE84" s="147" t="str">
        <f t="shared" si="12"/>
        <v>-</v>
      </c>
      <c r="BF84" s="133">
        <v>0.01</v>
      </c>
      <c r="BG84" s="148">
        <v>-0.01</v>
      </c>
      <c r="BH84" s="14"/>
      <c r="BJ84" s="14"/>
      <c r="BK84" s="14"/>
      <c r="BL84" s="14"/>
    </row>
    <row r="85" spans="1:64" x14ac:dyDescent="0.25">
      <c r="A85" s="278" t="s">
        <v>424</v>
      </c>
      <c r="B85" s="88" t="e">
        <f>VLOOKUP(INDEX('Load Test Points'!$A$28:$B$67, MATCH($G$16,'Load Test Points'!$A$28:$A$67,0),2),'Load Test Points'!$A$4:$K$24,9,FALSE)</f>
        <v>#N/A</v>
      </c>
      <c r="C85" s="209" t="str">
        <f t="shared" si="13"/>
        <v>-</v>
      </c>
      <c r="D85" s="89"/>
      <c r="E85" s="131" t="str">
        <f t="shared" si="1"/>
        <v>-</v>
      </c>
      <c r="F85" s="209" t="str">
        <f t="shared" si="14"/>
        <v>-</v>
      </c>
      <c r="G85" s="89"/>
      <c r="H85" s="131" t="str">
        <f t="shared" si="2"/>
        <v>-</v>
      </c>
      <c r="I85" s="209" t="str">
        <f t="shared" si="15"/>
        <v>-</v>
      </c>
      <c r="J85" s="89"/>
      <c r="K85" s="131" t="str">
        <f t="shared" si="3"/>
        <v>-</v>
      </c>
      <c r="L85" s="90" t="str">
        <f t="shared" si="16"/>
        <v>-</v>
      </c>
      <c r="M85" s="127" t="str">
        <f t="shared" si="17"/>
        <v>-</v>
      </c>
      <c r="N85" s="89" t="str">
        <f t="shared" si="18"/>
        <v>-</v>
      </c>
      <c r="O85" s="199" t="str">
        <f t="shared" si="19"/>
        <v>-</v>
      </c>
      <c r="P85" s="199">
        <f t="shared" si="4"/>
        <v>0</v>
      </c>
      <c r="Q85" s="342" t="s">
        <v>299</v>
      </c>
      <c r="R85" s="342"/>
      <c r="S85" s="189" t="str">
        <f>IFERROR(VLOOKUP($B85,'Load Test Points'!$A$70:$D$89,2,FALSE),"-")</f>
        <v>-</v>
      </c>
      <c r="T85" s="189" t="str">
        <f>IFERROR(VLOOKUP($B85,'Load Test Points'!$A$70:$D$89,3,FALSE),"-")</f>
        <v>-</v>
      </c>
      <c r="U85" s="189" t="str">
        <f>IFERROR(VLOOKUP($B85,'Load Test Points'!$A$70:$D$89,4,FALSE),"-")</f>
        <v>-</v>
      </c>
      <c r="W85" s="159" t="e">
        <f t="shared" si="20"/>
        <v>#VALUE!</v>
      </c>
      <c r="X85" s="187" t="str">
        <f t="shared" si="21"/>
        <v>-</v>
      </c>
      <c r="Y85" s="119"/>
      <c r="Z85" s="120" t="e">
        <f t="shared" si="5"/>
        <v>#VALUE!</v>
      </c>
      <c r="AA85" s="120" t="e">
        <f t="shared" si="22"/>
        <v>#VALUE!</v>
      </c>
      <c r="AB85" s="120" t="e">
        <f t="shared" si="23"/>
        <v>#VALUE!</v>
      </c>
      <c r="AC85" s="120" t="str">
        <f>IFERROR(VLOOKUP(S85,'Calibration Standards'!$G$13:$M$23,7,FALSE),"-")</f>
        <v>-</v>
      </c>
      <c r="AD85" s="120" t="str">
        <f>IFERROR(VLOOKUP(T85,'Calibration Standards'!$G$13:$M$23,7,FALSE),"-")</f>
        <v>-</v>
      </c>
      <c r="AE85" s="120" t="str">
        <f>IFERROR(VLOOKUP(U85,'Calibration Standards'!$G$13:$M$23,7,FALSE),"-")</f>
        <v>-</v>
      </c>
      <c r="AF85" s="120">
        <f>IFERROR(VLOOKUP(S85,'Calibration Standards'!$G$13:$O$23,9,FALSE)-VLOOKUP(S85,'Calibration Standards'!$G$13:$O$23,8,FALSE),0)</f>
        <v>0</v>
      </c>
      <c r="AG85" s="120">
        <f>IFERROR(VLOOKUP(T85,'Calibration Standards'!$G$13:$O$23,9,FALSE)-VLOOKUP(T85,'Calibration Standards'!$G$13:$O$23,8,FALSE),0)</f>
        <v>0</v>
      </c>
      <c r="AH85" s="120">
        <f>IFERROR(VLOOKUP(U85,'Calibration Standards'!$G$13:$O$23,9,FALSE)-VLOOKUP(U85,'Calibration Standards'!$G$13:$O$23,8,FALSE),0)</f>
        <v>0</v>
      </c>
      <c r="AI85" s="120">
        <f t="shared" si="24"/>
        <v>0</v>
      </c>
      <c r="AJ85" s="120">
        <f t="shared" si="25"/>
        <v>0</v>
      </c>
      <c r="AK85" s="120">
        <f>IFERROR(VLOOKUP(S85,'Calibration Standards'!$G$13:$Q$23,11,FALSE),0)</f>
        <v>0</v>
      </c>
      <c r="AL85" s="120">
        <f>IFERROR(VLOOKUP(T85,'Calibration Standards'!$G$13:$Q$23,11,FALSE),0)</f>
        <v>0</v>
      </c>
      <c r="AM85" s="120">
        <f>IFERROR(VLOOKUP(U85,'Calibration Standards'!$G$13:$Q$23,11,FALSE),0)</f>
        <v>0</v>
      </c>
      <c r="AN85" s="120">
        <f t="shared" si="26"/>
        <v>0</v>
      </c>
      <c r="AO85" s="120">
        <f t="shared" si="27"/>
        <v>0</v>
      </c>
      <c r="AP85" s="120">
        <f t="shared" si="28"/>
        <v>0</v>
      </c>
      <c r="AQ85" s="120">
        <f t="shared" si="29"/>
        <v>0</v>
      </c>
      <c r="AR85" s="120" t="e">
        <f t="shared" si="6"/>
        <v>#VALUE!</v>
      </c>
      <c r="AS85" s="120" t="e">
        <f t="shared" si="7"/>
        <v>#VALUE!</v>
      </c>
      <c r="AT85" s="126" t="e">
        <f t="shared" si="8"/>
        <v>#VALUE!</v>
      </c>
      <c r="AU85" s="126" t="e">
        <f t="shared" si="30"/>
        <v>#VALUE!</v>
      </c>
      <c r="AV85" s="121" t="e">
        <f t="shared" si="9"/>
        <v>#VALUE!</v>
      </c>
      <c r="AW85" s="122" t="e">
        <f t="shared" si="31"/>
        <v>#VALUE!</v>
      </c>
      <c r="AX85" s="210" t="e">
        <f t="shared" si="32"/>
        <v>#VALUE!</v>
      </c>
      <c r="AY85" s="210" t="e">
        <f t="shared" si="33"/>
        <v>#VALUE!</v>
      </c>
      <c r="AZ85" s="212" t="e">
        <f t="shared" si="34"/>
        <v>#VALUE!</v>
      </c>
      <c r="BA85" s="210" t="e">
        <f t="shared" si="35"/>
        <v>#VALUE!</v>
      </c>
      <c r="BB85" s="178"/>
      <c r="BC85" s="145" t="e">
        <f t="shared" si="10"/>
        <v>#N/A</v>
      </c>
      <c r="BD85" s="147" t="str">
        <f t="shared" si="11"/>
        <v>-</v>
      </c>
      <c r="BE85" s="147" t="str">
        <f t="shared" si="12"/>
        <v>-</v>
      </c>
      <c r="BF85" s="133">
        <v>0.01</v>
      </c>
      <c r="BG85" s="148">
        <v>-0.01</v>
      </c>
      <c r="BH85" s="14"/>
      <c r="BJ85" s="14"/>
      <c r="BK85" s="14"/>
      <c r="BL85" s="14"/>
    </row>
    <row r="86" spans="1:64" x14ac:dyDescent="0.25">
      <c r="A86" s="278" t="s">
        <v>424</v>
      </c>
      <c r="B86" s="88" t="e">
        <f>VLOOKUP(INDEX('Load Test Points'!$A$28:$B$67, MATCH($G$16,'Load Test Points'!$A$28:$A$67,0),2),'Load Test Points'!$A$4:$K$24,10,FALSE)</f>
        <v>#N/A</v>
      </c>
      <c r="C86" s="209" t="str">
        <f t="shared" si="13"/>
        <v>-</v>
      </c>
      <c r="D86" s="89"/>
      <c r="E86" s="131" t="str">
        <f t="shared" si="1"/>
        <v>-</v>
      </c>
      <c r="F86" s="209" t="str">
        <f t="shared" si="14"/>
        <v>-</v>
      </c>
      <c r="G86" s="89"/>
      <c r="H86" s="131" t="str">
        <f t="shared" si="2"/>
        <v>-</v>
      </c>
      <c r="I86" s="209" t="str">
        <f t="shared" si="15"/>
        <v>-</v>
      </c>
      <c r="J86" s="89"/>
      <c r="K86" s="131" t="str">
        <f t="shared" si="3"/>
        <v>-</v>
      </c>
      <c r="L86" s="90" t="str">
        <f t="shared" si="16"/>
        <v>-</v>
      </c>
      <c r="M86" s="127" t="str">
        <f t="shared" si="17"/>
        <v>-</v>
      </c>
      <c r="N86" s="89" t="str">
        <f t="shared" si="18"/>
        <v>-</v>
      </c>
      <c r="O86" s="199" t="str">
        <f t="shared" si="19"/>
        <v>-</v>
      </c>
      <c r="P86" s="199">
        <f t="shared" si="4"/>
        <v>0</v>
      </c>
      <c r="Q86" s="342" t="s">
        <v>300</v>
      </c>
      <c r="R86" s="342"/>
      <c r="S86" s="189" t="str">
        <f>IFERROR(VLOOKUP($B86,'Load Test Points'!$A$70:$D$89,2,FALSE),"-")</f>
        <v>-</v>
      </c>
      <c r="T86" s="189" t="str">
        <f>IFERROR(VLOOKUP($B86,'Load Test Points'!$A$70:$D$89,3,FALSE),"-")</f>
        <v>-</v>
      </c>
      <c r="U86" s="189" t="str">
        <f>IFERROR(VLOOKUP($B86,'Load Test Points'!$A$70:$D$89,4,FALSE),"-")</f>
        <v>-</v>
      </c>
      <c r="W86" s="159" t="e">
        <f t="shared" si="20"/>
        <v>#VALUE!</v>
      </c>
      <c r="X86" s="187" t="str">
        <f t="shared" si="21"/>
        <v>-</v>
      </c>
      <c r="Y86" s="119"/>
      <c r="Z86" s="120" t="e">
        <f t="shared" si="5"/>
        <v>#VALUE!</v>
      </c>
      <c r="AA86" s="120" t="e">
        <f t="shared" si="22"/>
        <v>#VALUE!</v>
      </c>
      <c r="AB86" s="120" t="e">
        <f t="shared" si="23"/>
        <v>#VALUE!</v>
      </c>
      <c r="AC86" s="120" t="str">
        <f>IFERROR(VLOOKUP(S86,'Calibration Standards'!$G$13:$M$23,7,FALSE),"-")</f>
        <v>-</v>
      </c>
      <c r="AD86" s="120" t="str">
        <f>IFERROR(VLOOKUP(T86,'Calibration Standards'!$G$13:$M$23,7,FALSE),"-")</f>
        <v>-</v>
      </c>
      <c r="AE86" s="120" t="str">
        <f>IFERROR(VLOOKUP(U86,'Calibration Standards'!$G$13:$M$23,7,FALSE),"-")</f>
        <v>-</v>
      </c>
      <c r="AF86" s="120">
        <f>IFERROR(VLOOKUP(S86,'Calibration Standards'!$G$13:$O$23,9,FALSE)-VLOOKUP(S86,'Calibration Standards'!$G$13:$O$23,8,FALSE),0)</f>
        <v>0</v>
      </c>
      <c r="AG86" s="120">
        <f>IFERROR(VLOOKUP(T86,'Calibration Standards'!$G$13:$O$23,9,FALSE)-VLOOKUP(T86,'Calibration Standards'!$G$13:$O$23,8,FALSE),0)</f>
        <v>0</v>
      </c>
      <c r="AH86" s="120">
        <f>IFERROR(VLOOKUP(U86,'Calibration Standards'!$G$13:$O$23,9,FALSE)-VLOOKUP(U86,'Calibration Standards'!$G$13:$O$23,8,FALSE),0)</f>
        <v>0</v>
      </c>
      <c r="AI86" s="120">
        <f t="shared" si="24"/>
        <v>0</v>
      </c>
      <c r="AJ86" s="120">
        <f t="shared" si="25"/>
        <v>0</v>
      </c>
      <c r="AK86" s="120">
        <f>IFERROR(VLOOKUP(S86,'Calibration Standards'!$G$13:$Q$23,11,FALSE),0)</f>
        <v>0</v>
      </c>
      <c r="AL86" s="120">
        <f>IFERROR(VLOOKUP(T86,'Calibration Standards'!$G$13:$Q$23,11,FALSE),0)</f>
        <v>0</v>
      </c>
      <c r="AM86" s="120">
        <f>IFERROR(VLOOKUP(U86,'Calibration Standards'!$G$13:$Q$23,11,FALSE),0)</f>
        <v>0</v>
      </c>
      <c r="AN86" s="120">
        <f t="shared" si="26"/>
        <v>0</v>
      </c>
      <c r="AO86" s="120">
        <f t="shared" si="27"/>
        <v>0</v>
      </c>
      <c r="AP86" s="120">
        <f t="shared" si="28"/>
        <v>0</v>
      </c>
      <c r="AQ86" s="120">
        <f t="shared" si="29"/>
        <v>0</v>
      </c>
      <c r="AR86" s="120" t="e">
        <f t="shared" si="6"/>
        <v>#VALUE!</v>
      </c>
      <c r="AS86" s="120" t="e">
        <f t="shared" si="7"/>
        <v>#VALUE!</v>
      </c>
      <c r="AT86" s="126" t="e">
        <f t="shared" si="8"/>
        <v>#VALUE!</v>
      </c>
      <c r="AU86" s="126" t="e">
        <f t="shared" si="30"/>
        <v>#VALUE!</v>
      </c>
      <c r="AV86" s="121" t="e">
        <f t="shared" si="9"/>
        <v>#VALUE!</v>
      </c>
      <c r="AW86" s="122" t="e">
        <f t="shared" si="31"/>
        <v>#VALUE!</v>
      </c>
      <c r="AX86" s="210" t="e">
        <f t="shared" si="32"/>
        <v>#VALUE!</v>
      </c>
      <c r="AY86" s="210" t="e">
        <f t="shared" si="33"/>
        <v>#VALUE!</v>
      </c>
      <c r="AZ86" s="212" t="e">
        <f t="shared" si="34"/>
        <v>#VALUE!</v>
      </c>
      <c r="BA86" s="210" t="e">
        <f t="shared" si="35"/>
        <v>#VALUE!</v>
      </c>
      <c r="BB86" s="178"/>
      <c r="BC86" s="145" t="e">
        <f t="shared" si="10"/>
        <v>#N/A</v>
      </c>
      <c r="BD86" s="147" t="str">
        <f t="shared" si="11"/>
        <v>-</v>
      </c>
      <c r="BE86" s="147" t="str">
        <f t="shared" si="12"/>
        <v>-</v>
      </c>
      <c r="BF86" s="133">
        <v>0.01</v>
      </c>
      <c r="BG86" s="148">
        <v>-0.01</v>
      </c>
      <c r="BH86" s="14"/>
      <c r="BJ86" s="14"/>
      <c r="BK86" s="14"/>
      <c r="BL86" s="14"/>
    </row>
    <row r="87" spans="1:64" x14ac:dyDescent="0.25">
      <c r="A87" s="278" t="s">
        <v>424</v>
      </c>
      <c r="B87" s="88" t="e">
        <f>VLOOKUP(INDEX('Load Test Points'!$A$28:$B$67, MATCH($G$16,'Load Test Points'!$A$28:$A$67,0),2),'Load Test Points'!$A$4:$K$24,11,FALSE)</f>
        <v>#N/A</v>
      </c>
      <c r="C87" s="209" t="str">
        <f>IFERROR(IF(SUM($AC87:$AE87)=0,"-",SUM($AC87:$AE87)),"-")</f>
        <v>-</v>
      </c>
      <c r="D87" s="89"/>
      <c r="E87" s="131" t="str">
        <f t="shared" si="1"/>
        <v>-</v>
      </c>
      <c r="F87" s="209" t="str">
        <f>IFERROR(IF(SUM($AC87:$AE87)=0,"-",SUM($AC87:$AE87)),"-")</f>
        <v>-</v>
      </c>
      <c r="G87" s="89"/>
      <c r="H87" s="131" t="str">
        <f t="shared" si="2"/>
        <v>-</v>
      </c>
      <c r="I87" s="209" t="str">
        <f>IFERROR(IF(SUM($AC87:$AE87)=0,"-",SUM($AC87:$AE87)),"-")</f>
        <v>-</v>
      </c>
      <c r="J87" s="89"/>
      <c r="K87" s="131" t="str">
        <f t="shared" si="3"/>
        <v>-</v>
      </c>
      <c r="L87" s="90" t="str">
        <f t="shared" si="16"/>
        <v>-</v>
      </c>
      <c r="M87" s="127" t="str">
        <f t="shared" si="17"/>
        <v>-</v>
      </c>
      <c r="N87" s="89" t="str">
        <f t="shared" si="18"/>
        <v>-</v>
      </c>
      <c r="O87" s="199" t="str">
        <f t="shared" si="19"/>
        <v>-</v>
      </c>
      <c r="P87" s="199">
        <f t="shared" si="4"/>
        <v>0</v>
      </c>
      <c r="Q87" s="342" t="s">
        <v>301</v>
      </c>
      <c r="R87" s="342"/>
      <c r="S87" s="189" t="str">
        <f>IFERROR(VLOOKUP($B87,'Load Test Points'!$A$70:$D$89,2,FALSE),"-")</f>
        <v>-</v>
      </c>
      <c r="T87" s="189" t="str">
        <f>IFERROR(VLOOKUP($B87,'Load Test Points'!$A$70:$D$89,3,FALSE),"-")</f>
        <v>-</v>
      </c>
      <c r="U87" s="189" t="str">
        <f>IFERROR(VLOOKUP($B87,'Load Test Points'!$A$70:$D$89,4,FALSE),"-")</f>
        <v>-</v>
      </c>
      <c r="W87" s="159" t="e">
        <f t="shared" si="20"/>
        <v>#VALUE!</v>
      </c>
      <c r="X87" s="187" t="str">
        <f t="shared" ref="X87" si="36">IFERROR(W87/P87,"-")</f>
        <v>-</v>
      </c>
      <c r="Y87" s="94"/>
      <c r="Z87" s="123" t="e">
        <f t="shared" si="5"/>
        <v>#VALUE!</v>
      </c>
      <c r="AA87" s="120" t="e">
        <f t="shared" si="22"/>
        <v>#VALUE!</v>
      </c>
      <c r="AB87" s="120" t="e">
        <f t="shared" si="23"/>
        <v>#VALUE!</v>
      </c>
      <c r="AC87" s="120" t="str">
        <f>IFERROR(VLOOKUP(S87,'Calibration Standards'!$G$13:$M$23,7,FALSE),"-")</f>
        <v>-</v>
      </c>
      <c r="AD87" s="120" t="str">
        <f>IFERROR(VLOOKUP(T87,'Calibration Standards'!$G$13:$M$23,7,FALSE),"-")</f>
        <v>-</v>
      </c>
      <c r="AE87" s="120" t="str">
        <f>IFERROR(VLOOKUP(U87,'Calibration Standards'!$G$13:$M$23,7,FALSE),"-")</f>
        <v>-</v>
      </c>
      <c r="AF87" s="120">
        <f>IFERROR(VLOOKUP(S87,'Calibration Standards'!$G$13:$O$23,9,FALSE)-VLOOKUP(S87,'Calibration Standards'!$G$13:$O$23,8,FALSE),0)</f>
        <v>0</v>
      </c>
      <c r="AG87" s="120">
        <f>IFERROR(VLOOKUP(T87,'Calibration Standards'!$G$13:$O$23,9,FALSE)-VLOOKUP(T87,'Calibration Standards'!$G$13:$O$23,8,FALSE),0)</f>
        <v>0</v>
      </c>
      <c r="AH87" s="120">
        <f>IFERROR(VLOOKUP(U87,'Calibration Standards'!$G$13:$O$23,9,FALSE)-VLOOKUP(U87,'Calibration Standards'!$G$13:$O$23,8,FALSE),0)</f>
        <v>0</v>
      </c>
      <c r="AI87" s="120">
        <f t="shared" si="24"/>
        <v>0</v>
      </c>
      <c r="AJ87" s="120">
        <f t="shared" si="25"/>
        <v>0</v>
      </c>
      <c r="AK87" s="120">
        <f>IFERROR(VLOOKUP(S87,'Calibration Standards'!$G$13:$Q$23,11,FALSE),0)</f>
        <v>0</v>
      </c>
      <c r="AL87" s="120">
        <f>IFERROR(VLOOKUP(T87,'Calibration Standards'!$G$13:$Q$23,11,FALSE),0)</f>
        <v>0</v>
      </c>
      <c r="AM87" s="120">
        <f>IFERROR(VLOOKUP(U87,'Calibration Standards'!$G$13:$Q$23,11,FALSE),0)</f>
        <v>0</v>
      </c>
      <c r="AN87" s="120">
        <f t="shared" si="26"/>
        <v>0</v>
      </c>
      <c r="AO87" s="120">
        <f t="shared" si="27"/>
        <v>0</v>
      </c>
      <c r="AP87" s="120">
        <f t="shared" si="28"/>
        <v>0</v>
      </c>
      <c r="AQ87" s="120">
        <f t="shared" si="29"/>
        <v>0</v>
      </c>
      <c r="AR87" s="120" t="e">
        <f t="shared" si="6"/>
        <v>#VALUE!</v>
      </c>
      <c r="AS87" s="120" t="e">
        <f t="shared" si="7"/>
        <v>#VALUE!</v>
      </c>
      <c r="AT87" s="126" t="e">
        <f t="shared" si="8"/>
        <v>#VALUE!</v>
      </c>
      <c r="AU87" s="126" t="e">
        <f t="shared" si="30"/>
        <v>#VALUE!</v>
      </c>
      <c r="AV87" s="121" t="e">
        <f t="shared" si="9"/>
        <v>#VALUE!</v>
      </c>
      <c r="AW87" s="122" t="e">
        <f t="shared" si="31"/>
        <v>#VALUE!</v>
      </c>
      <c r="AX87" s="210" t="e">
        <f t="shared" si="32"/>
        <v>#VALUE!</v>
      </c>
      <c r="AY87" s="210" t="e">
        <f t="shared" si="33"/>
        <v>#VALUE!</v>
      </c>
      <c r="AZ87" s="211" t="e">
        <f t="shared" si="34"/>
        <v>#VALUE!</v>
      </c>
      <c r="BA87" s="210" t="e">
        <f t="shared" si="35"/>
        <v>#VALUE!</v>
      </c>
      <c r="BB87" s="178"/>
      <c r="BC87" s="145" t="e">
        <f t="shared" si="10"/>
        <v>#N/A</v>
      </c>
      <c r="BD87" s="147" t="str">
        <f t="shared" si="11"/>
        <v>-</v>
      </c>
      <c r="BE87" s="147" t="str">
        <f t="shared" si="12"/>
        <v>-</v>
      </c>
      <c r="BF87" s="133">
        <v>0.01</v>
      </c>
      <c r="BG87" s="148">
        <v>-0.01</v>
      </c>
      <c r="BH87" s="14"/>
      <c r="BJ87" s="14"/>
      <c r="BK87" s="14"/>
      <c r="BL87" s="14"/>
    </row>
    <row r="88" spans="1:64" x14ac:dyDescent="0.25">
      <c r="B88" s="7"/>
      <c r="C88" s="7"/>
      <c r="D88" s="7"/>
      <c r="E88" s="7" t="s">
        <v>373</v>
      </c>
      <c r="K88" s="11"/>
      <c r="BC88" s="145"/>
      <c r="BD88" s="16"/>
      <c r="BE88" s="16"/>
      <c r="BF88" s="16"/>
      <c r="BG88" s="146"/>
    </row>
    <row r="89" spans="1:64" x14ac:dyDescent="0.25">
      <c r="B89" s="357" t="s">
        <v>355</v>
      </c>
      <c r="C89" s="357"/>
      <c r="D89" s="357"/>
      <c r="E89" s="357"/>
      <c r="F89" s="357"/>
      <c r="G89" s="357"/>
      <c r="H89" s="357"/>
      <c r="I89" s="357"/>
      <c r="J89" s="357"/>
      <c r="K89" s="357"/>
      <c r="L89" s="357"/>
      <c r="M89" s="357"/>
      <c r="N89" s="357"/>
      <c r="O89" s="163"/>
      <c r="P89" s="36"/>
      <c r="Q89" s="36"/>
      <c r="R89" s="36"/>
      <c r="S89" s="36"/>
      <c r="T89" s="36"/>
      <c r="U89" s="36"/>
      <c r="V89" s="36"/>
      <c r="Y89" s="113" t="s">
        <v>242</v>
      </c>
      <c r="Z89" s="92" t="s">
        <v>245</v>
      </c>
      <c r="AA89" s="92" t="s">
        <v>246</v>
      </c>
      <c r="AB89" s="92" t="s">
        <v>246</v>
      </c>
      <c r="AC89" s="203"/>
      <c r="AD89" s="203"/>
      <c r="AE89" s="203"/>
      <c r="AF89" s="203"/>
      <c r="AG89" s="203"/>
      <c r="AH89" s="203"/>
      <c r="AI89" s="203"/>
      <c r="AJ89" s="207" t="s">
        <v>246</v>
      </c>
      <c r="AK89" s="203"/>
      <c r="AL89" s="203"/>
      <c r="AM89" s="203"/>
      <c r="AN89" s="203"/>
      <c r="AO89" s="92" t="s">
        <v>246</v>
      </c>
      <c r="AP89" s="92" t="s">
        <v>246</v>
      </c>
      <c r="AQ89" s="92" t="s">
        <v>246</v>
      </c>
      <c r="AR89" s="92" t="s">
        <v>246</v>
      </c>
      <c r="AS89" s="92" t="s">
        <v>246</v>
      </c>
      <c r="AT89" s="93"/>
      <c r="AU89" s="114"/>
      <c r="AV89" s="114"/>
      <c r="AW89" s="114"/>
      <c r="AX89" s="114"/>
      <c r="AY89" s="114"/>
      <c r="AZ89" s="114"/>
      <c r="BA89" s="114"/>
      <c r="BB89" s="176"/>
      <c r="BC89" s="145"/>
      <c r="BD89" s="16"/>
      <c r="BE89" s="16"/>
      <c r="BF89" s="16"/>
      <c r="BG89" s="146"/>
    </row>
    <row r="90" spans="1:64" x14ac:dyDescent="0.25">
      <c r="B90" s="15"/>
      <c r="C90" s="14"/>
      <c r="D90" s="14"/>
      <c r="E90" s="14"/>
      <c r="F90" s="14"/>
      <c r="G90" s="14"/>
      <c r="H90" s="14"/>
      <c r="I90" s="14"/>
      <c r="J90" s="14"/>
      <c r="K90" s="14"/>
      <c r="O90" s="341"/>
      <c r="P90" s="341"/>
      <c r="Q90" s="341"/>
      <c r="R90" s="341"/>
      <c r="S90" s="36"/>
      <c r="T90" s="36"/>
      <c r="U90" s="36"/>
      <c r="V90" s="36"/>
      <c r="Y90" s="113" t="s">
        <v>243</v>
      </c>
      <c r="Z90" s="92" t="s">
        <v>247</v>
      </c>
      <c r="AA90" s="92" t="s">
        <v>248</v>
      </c>
      <c r="AB90" s="92" t="s">
        <v>247</v>
      </c>
      <c r="AC90" s="203"/>
      <c r="AD90" s="203"/>
      <c r="AE90" s="203"/>
      <c r="AF90" s="203"/>
      <c r="AG90" s="203"/>
      <c r="AH90" s="203"/>
      <c r="AI90" s="203"/>
      <c r="AJ90" s="207" t="s">
        <v>248</v>
      </c>
      <c r="AK90" s="203"/>
      <c r="AL90" s="203"/>
      <c r="AM90" s="203"/>
      <c r="AN90" s="203"/>
      <c r="AO90" s="92" t="s">
        <v>247</v>
      </c>
      <c r="AP90" s="92" t="s">
        <v>248</v>
      </c>
      <c r="AQ90" s="92" t="s">
        <v>248</v>
      </c>
      <c r="AR90" s="92" t="s">
        <v>247</v>
      </c>
      <c r="AS90" s="92" t="s">
        <v>247</v>
      </c>
      <c r="AT90" s="93"/>
      <c r="AU90" s="114"/>
      <c r="AV90" s="114"/>
      <c r="AW90" s="114"/>
      <c r="AX90" s="114"/>
      <c r="AY90" s="114"/>
      <c r="AZ90" s="114"/>
      <c r="BA90" s="114"/>
      <c r="BB90" s="176"/>
      <c r="BC90" s="145"/>
      <c r="BD90" s="16"/>
      <c r="BE90" s="16"/>
      <c r="BF90" s="16"/>
      <c r="BG90" s="146"/>
    </row>
    <row r="91" spans="1:64" ht="15" customHeight="1" x14ac:dyDescent="0.25">
      <c r="B91" s="358" t="s">
        <v>49</v>
      </c>
      <c r="C91" s="309" t="s">
        <v>350</v>
      </c>
      <c r="D91" s="360" t="s">
        <v>340</v>
      </c>
      <c r="E91" s="360" t="s">
        <v>50</v>
      </c>
      <c r="F91" s="309" t="s">
        <v>341</v>
      </c>
      <c r="G91" s="360" t="s">
        <v>342</v>
      </c>
      <c r="H91" s="360" t="s">
        <v>51</v>
      </c>
      <c r="I91" s="309" t="s">
        <v>351</v>
      </c>
      <c r="J91" s="360" t="s">
        <v>352</v>
      </c>
      <c r="K91" s="360" t="s">
        <v>52</v>
      </c>
      <c r="L91" s="309" t="s">
        <v>302</v>
      </c>
      <c r="M91" s="360" t="s">
        <v>249</v>
      </c>
      <c r="N91" s="360" t="s">
        <v>353</v>
      </c>
      <c r="O91" s="312" t="s">
        <v>290</v>
      </c>
      <c r="P91" s="312"/>
      <c r="Q91" s="312"/>
      <c r="R91" s="312"/>
      <c r="S91" s="356" t="s">
        <v>357</v>
      </c>
      <c r="T91" s="356"/>
      <c r="U91" s="356"/>
      <c r="V91" s="36"/>
      <c r="X91" s="313" t="s">
        <v>53</v>
      </c>
      <c r="Y91" s="113" t="s">
        <v>244</v>
      </c>
      <c r="Z91" s="92">
        <v>1</v>
      </c>
      <c r="AA91" s="92">
        <v>1.73</v>
      </c>
      <c r="AB91" s="92">
        <v>2</v>
      </c>
      <c r="AC91" s="203"/>
      <c r="AD91" s="203"/>
      <c r="AE91" s="203"/>
      <c r="AF91" s="203"/>
      <c r="AG91" s="203"/>
      <c r="AH91" s="203"/>
      <c r="AI91" s="203"/>
      <c r="AJ91" s="207">
        <v>1.73</v>
      </c>
      <c r="AK91" s="203"/>
      <c r="AL91" s="203"/>
      <c r="AM91" s="203"/>
      <c r="AN91" s="203"/>
      <c r="AO91" s="92">
        <v>2</v>
      </c>
      <c r="AP91" s="92">
        <f>2*1.73</f>
        <v>3.46</v>
      </c>
      <c r="AQ91" s="92">
        <f>2*1.73</f>
        <v>3.46</v>
      </c>
      <c r="AR91" s="92">
        <v>2</v>
      </c>
      <c r="AS91" s="92">
        <v>2</v>
      </c>
      <c r="AT91" s="93"/>
      <c r="AU91" s="114"/>
      <c r="AV91" s="114"/>
      <c r="AW91" s="114"/>
      <c r="AX91" s="114"/>
      <c r="AY91" s="114"/>
      <c r="AZ91" s="114"/>
      <c r="BA91" s="114"/>
      <c r="BB91" s="176"/>
      <c r="BC91" s="145"/>
      <c r="BD91" s="16"/>
      <c r="BE91" s="16"/>
      <c r="BF91" s="16"/>
      <c r="BG91" s="146"/>
    </row>
    <row r="92" spans="1:64" ht="22.5" x14ac:dyDescent="0.25">
      <c r="B92" s="359"/>
      <c r="C92" s="310"/>
      <c r="D92" s="361"/>
      <c r="E92" s="361"/>
      <c r="F92" s="310"/>
      <c r="G92" s="361"/>
      <c r="H92" s="361"/>
      <c r="I92" s="310"/>
      <c r="J92" s="361"/>
      <c r="K92" s="361"/>
      <c r="L92" s="310"/>
      <c r="M92" s="361"/>
      <c r="N92" s="361"/>
      <c r="O92" s="165" t="s">
        <v>230</v>
      </c>
      <c r="P92" s="165" t="s">
        <v>231</v>
      </c>
      <c r="Q92" s="389" t="s">
        <v>291</v>
      </c>
      <c r="R92" s="389"/>
      <c r="S92" s="201" t="s">
        <v>335</v>
      </c>
      <c r="T92" s="201" t="s">
        <v>336</v>
      </c>
      <c r="U92" s="201" t="s">
        <v>337</v>
      </c>
      <c r="V92" s="36"/>
      <c r="W92" s="158" t="s">
        <v>372</v>
      </c>
      <c r="X92" s="313"/>
      <c r="Y92" s="115" t="s">
        <v>277</v>
      </c>
      <c r="Z92" s="116"/>
      <c r="AA92" s="117" t="e">
        <f>VLOOKUP($E$36,'Calibration Standards'!$B$8:$K$11,9,FALSE)</f>
        <v>#N/A</v>
      </c>
      <c r="AB92" s="117" t="e">
        <f>VLOOKUP($E$36,'Calibration Standards'!$B$8:$K$11,10,FALSE)</f>
        <v>#N/A</v>
      </c>
      <c r="AC92" s="204"/>
      <c r="AD92" s="204"/>
      <c r="AE92" s="204"/>
      <c r="AF92" s="204"/>
      <c r="AG92" s="204"/>
      <c r="AH92" s="204"/>
      <c r="AI92" s="204"/>
      <c r="AJ92" s="204"/>
      <c r="AK92" s="204"/>
      <c r="AL92" s="204"/>
      <c r="AM92" s="204"/>
      <c r="AN92" s="204"/>
      <c r="AO92" s="117"/>
      <c r="AP92" s="118">
        <f>$G$18</f>
        <v>0</v>
      </c>
      <c r="AQ92" s="118">
        <f>$G$18</f>
        <v>0</v>
      </c>
      <c r="AR92" s="128">
        <f>0.0008%*ABS(L25-L26)</f>
        <v>0</v>
      </c>
      <c r="AS92" s="132">
        <v>1E-4</v>
      </c>
      <c r="AT92" s="116"/>
      <c r="AU92" s="116"/>
      <c r="AV92" s="116"/>
      <c r="AW92" s="116"/>
      <c r="AX92" s="116"/>
      <c r="AY92" s="116"/>
      <c r="AZ92" s="116"/>
      <c r="BA92" s="116"/>
      <c r="BB92" s="177"/>
      <c r="BC92" s="145" t="s">
        <v>49</v>
      </c>
      <c r="BD92" s="144" t="s">
        <v>50</v>
      </c>
      <c r="BE92" s="144" t="s">
        <v>51</v>
      </c>
      <c r="BF92" s="16" t="s">
        <v>288</v>
      </c>
      <c r="BG92" s="146" t="s">
        <v>288</v>
      </c>
    </row>
    <row r="93" spans="1:64" x14ac:dyDescent="0.25">
      <c r="A93" s="278" t="s">
        <v>424</v>
      </c>
      <c r="B93" s="88" t="e">
        <f>VLOOKUP(INDEX('Load Test Points'!$A$28:$B$67, MATCH($G$16,'Load Test Points'!$A$28:$A$67,0),2),'Load Test Points'!$A$4:$K$24,2,FALSE)</f>
        <v>#N/A</v>
      </c>
      <c r="C93" s="208" t="str">
        <f>IFERROR(IF(SUM($AC93:$AE93)=0,"-",SUM($AC93:$AE93)),"-")</f>
        <v>-</v>
      </c>
      <c r="D93" s="89"/>
      <c r="E93" s="131" t="str">
        <f t="shared" ref="E93:E101" si="37">IFERROR((C93-D93)/C93,"-")</f>
        <v>-</v>
      </c>
      <c r="F93" s="208" t="str">
        <f>IFERROR(IF(SUM($AC93:$AE93)=0,"-",SUM($AC93:$AE93)),"-")</f>
        <v>-</v>
      </c>
      <c r="G93" s="89"/>
      <c r="H93" s="131" t="str">
        <f t="shared" ref="H93:H101" si="38">IFERROR((F93-G93)/F93,"-")</f>
        <v>-</v>
      </c>
      <c r="I93" s="208" t="str">
        <f>IFERROR(IF(SUM($AC93:$AE93)=0,"-",SUM($AC93:$AE93)),"-")</f>
        <v>-</v>
      </c>
      <c r="J93" s="89"/>
      <c r="K93" s="131" t="str">
        <f t="shared" ref="K93:K101" si="39">IFERROR((I93-J93)/I93,"-")</f>
        <v>-</v>
      </c>
      <c r="L93" s="90" t="str">
        <f>IFERROR(ABS(E93-H93),"-")</f>
        <v>-</v>
      </c>
      <c r="M93" s="127" t="str">
        <f>IFERROR(IF($D$28="Starrett Deadweight",AZ93,AV93),"-")</f>
        <v>-</v>
      </c>
      <c r="N93" s="89" t="str">
        <f>IFERROR(IF($D$28="Starrett Deadweight",BA93,AW93),"-")</f>
        <v>-</v>
      </c>
      <c r="O93" s="199" t="str">
        <f>IFERROR((C93+F93+I93)/3,"-")</f>
        <v>-</v>
      </c>
      <c r="P93" s="199">
        <f t="shared" ref="P93:P102" si="40">(D93+G93+J93)/3</f>
        <v>0</v>
      </c>
      <c r="Q93" s="342" t="s">
        <v>292</v>
      </c>
      <c r="R93" s="342"/>
      <c r="S93" s="189" t="str">
        <f>IFERROR(VLOOKUP($B93,'Load Test Points'!$A$70:$D$89,2,FALSE),"-")</f>
        <v>-</v>
      </c>
      <c r="T93" s="189" t="str">
        <f>IFERROR(VLOOKUP($B93,'Load Test Points'!$A$70:$D$89,3,FALSE),"-")</f>
        <v>-</v>
      </c>
      <c r="U93" s="189" t="str">
        <f>IFERROR(VLOOKUP($B93,'Load Test Points'!$A$70:$D$89,4,FALSE),"-")</f>
        <v>-</v>
      </c>
      <c r="W93" s="159" t="e">
        <f t="shared" ref="W93:W102" si="41">O93-P93</f>
        <v>#VALUE!</v>
      </c>
      <c r="X93" s="187" t="str">
        <f>IFERROR(W93/O93,"-")</f>
        <v>-</v>
      </c>
      <c r="Y93" s="119"/>
      <c r="Z93" s="120" t="e">
        <f t="shared" ref="Z93:Z102" si="42">ABS((X93*O93)/$Z$76)^2</f>
        <v>#VALUE!</v>
      </c>
      <c r="AA93" s="120" t="e">
        <f>((O93*$AA$77)/$AA$76)^2</f>
        <v>#VALUE!</v>
      </c>
      <c r="AB93" s="120" t="e">
        <f>(((O93*$AB$77)/$AB$76)/2)^2</f>
        <v>#VALUE!</v>
      </c>
      <c r="AC93" s="120" t="str">
        <f>IFERROR(VLOOKUP(S93,'Calibration Standards'!$G$13:$M$23,7,FALSE),"-")</f>
        <v>-</v>
      </c>
      <c r="AD93" s="120" t="str">
        <f>IFERROR(VLOOKUP(T93,'Calibration Standards'!$G$13:$M$23,7,FALSE),"-")</f>
        <v>-</v>
      </c>
      <c r="AE93" s="120" t="str">
        <f>IFERROR(VLOOKUP(U93,'Calibration Standards'!$G$13:$M$23,7,FALSE),"-")</f>
        <v>-</v>
      </c>
      <c r="AF93" s="120">
        <f>IFERROR(VLOOKUP(S93,'Calibration Standards'!$G$13:$O$23,9,FALSE)-VLOOKUP(S93,'Calibration Standards'!$G$13:$O$23,8,FALSE),0)</f>
        <v>0</v>
      </c>
      <c r="AG93" s="120">
        <f>IFERROR(VLOOKUP(T93,'Calibration Standards'!$G$13:$O$23,9,FALSE)-VLOOKUP(T93,'Calibration Standards'!$G$13:$O$23,8,FALSE),0)</f>
        <v>0</v>
      </c>
      <c r="AH93" s="120">
        <f>IFERROR(VLOOKUP(U93,'Calibration Standards'!$G$13:$O$23,9,FALSE)-VLOOKUP(U93,'Calibration Standards'!$G$13:$O$23,8,FALSE),0)</f>
        <v>0</v>
      </c>
      <c r="AI93" s="120">
        <f>SUM(AF93:AH93)</f>
        <v>0</v>
      </c>
      <c r="AJ93" s="120">
        <f>(AI93/$AJ$76)^2</f>
        <v>0</v>
      </c>
      <c r="AK93" s="120">
        <f>IFERROR(VLOOKUP(S93,'Calibration Standards'!$G$13:$Q$23,11,FALSE),0)</f>
        <v>0</v>
      </c>
      <c r="AL93" s="120">
        <f>IFERROR(VLOOKUP(T93,'Calibration Standards'!$G$13:$Q$23,11,FALSE),0)</f>
        <v>0</v>
      </c>
      <c r="AM93" s="120">
        <f>IFERROR(VLOOKUP(U93,'Calibration Standards'!$G$13:$Q$23,11,FALSE),0)</f>
        <v>0</v>
      </c>
      <c r="AN93" s="120">
        <f>SUM(AK93:AM93)</f>
        <v>0</v>
      </c>
      <c r="AO93" s="120">
        <f>(AN93/$AO$76)^2</f>
        <v>0</v>
      </c>
      <c r="AP93" s="120">
        <f>$AP$77/$AP$76</f>
        <v>0</v>
      </c>
      <c r="AQ93" s="120">
        <f>$AQ$77/$AQ$76</f>
        <v>0</v>
      </c>
      <c r="AR93" s="120" t="e">
        <f t="shared" ref="AR93:AR102" si="43">((O93*$AR$77)/$AR$76)^2</f>
        <v>#VALUE!</v>
      </c>
      <c r="AS93" s="120" t="e">
        <f t="shared" ref="AS93:AS102" si="44">(O93*$AS$77)/$AS$76</f>
        <v>#VALUE!</v>
      </c>
      <c r="AT93" s="126" t="e">
        <f t="shared" ref="AT93:AT102" si="45">SUM(Z93:AB93,AP93:AS93)</f>
        <v>#VALUE!</v>
      </c>
      <c r="AU93" s="126" t="e">
        <f>SQRT(AT93)</f>
        <v>#VALUE!</v>
      </c>
      <c r="AV93" s="121" t="e">
        <f t="shared" ref="AV93:AV102" si="46">AW93/O93</f>
        <v>#VALUE!</v>
      </c>
      <c r="AW93" s="122" t="e">
        <f>AU93*2</f>
        <v>#VALUE!</v>
      </c>
      <c r="AX93" s="210" t="e">
        <f>SUM(Z93,AJ93,AO93,AP93,AQ93,AR93,AS93)</f>
        <v>#VALUE!</v>
      </c>
      <c r="AY93" s="210" t="e">
        <f>SQRT(AX93)</f>
        <v>#VALUE!</v>
      </c>
      <c r="AZ93" s="212" t="e">
        <f>AY93/O93</f>
        <v>#VALUE!</v>
      </c>
      <c r="BA93" s="210" t="e">
        <f>AY93*2</f>
        <v>#VALUE!</v>
      </c>
      <c r="BB93" s="178"/>
      <c r="BC93" s="145" t="str">
        <f>IFERROR(B102,"-")</f>
        <v>-</v>
      </c>
      <c r="BD93" s="149" t="str">
        <f>E102</f>
        <v>-</v>
      </c>
      <c r="BE93" s="147" t="str">
        <f>H102</f>
        <v>-</v>
      </c>
      <c r="BF93" s="133">
        <v>0.01</v>
      </c>
      <c r="BG93" s="148">
        <v>-0.01</v>
      </c>
      <c r="BH93" s="14"/>
      <c r="BJ93" s="14"/>
      <c r="BK93" s="14"/>
      <c r="BL93" s="14"/>
    </row>
    <row r="94" spans="1:64" x14ac:dyDescent="0.25">
      <c r="A94" s="278" t="s">
        <v>424</v>
      </c>
      <c r="B94" s="88" t="e">
        <f>VLOOKUP(INDEX('Load Test Points'!$A$28:$B$67, MATCH($G$16,'Load Test Points'!$A$28:$A$67,0),2),'Load Test Points'!$A$4:$K$24,3,FALSE)</f>
        <v>#N/A</v>
      </c>
      <c r="C94" s="209" t="str">
        <f t="shared" ref="C94:C101" si="47">IFERROR(IF(SUM($AC94:$AE94)=0,"-",SUM($AC94:$AE94)),"-")</f>
        <v>-</v>
      </c>
      <c r="D94" s="89"/>
      <c r="E94" s="131" t="str">
        <f t="shared" si="37"/>
        <v>-</v>
      </c>
      <c r="F94" s="209" t="str">
        <f t="shared" ref="F94:F101" si="48">IFERROR(IF(SUM($AC94:$AE94)=0,"-",SUM($AC94:$AE94)),"-")</f>
        <v>-</v>
      </c>
      <c r="G94" s="89"/>
      <c r="H94" s="131" t="str">
        <f t="shared" si="38"/>
        <v>-</v>
      </c>
      <c r="I94" s="209" t="str">
        <f t="shared" ref="I94:I101" si="49">IFERROR(IF(SUM($AC94:$AE94)=0,"-",SUM($AC94:$AE94)),"-")</f>
        <v>-</v>
      </c>
      <c r="J94" s="89"/>
      <c r="K94" s="131" t="str">
        <f t="shared" si="39"/>
        <v>-</v>
      </c>
      <c r="L94" s="90" t="str">
        <f t="shared" ref="L94:L102" si="50">IFERROR(ABS(E94-H94),"-")</f>
        <v>-</v>
      </c>
      <c r="M94" s="127" t="str">
        <f t="shared" ref="M94:M102" si="51">IFERROR(IF($D$28="Starrett Deadweight",AZ94,AV94),"-")</f>
        <v>-</v>
      </c>
      <c r="N94" s="89" t="str">
        <f t="shared" ref="N94:N102" si="52">IFERROR(IF($D$28="Starrett Deadweight",BA94,AW94),"-")</f>
        <v>-</v>
      </c>
      <c r="O94" s="199" t="str">
        <f t="shared" ref="O94:O102" si="53">IFERROR((C94+F94+I94)/3,"-")</f>
        <v>-</v>
      </c>
      <c r="P94" s="199">
        <f t="shared" si="40"/>
        <v>0</v>
      </c>
      <c r="Q94" s="342" t="s">
        <v>293</v>
      </c>
      <c r="R94" s="342"/>
      <c r="S94" s="189" t="str">
        <f>IFERROR(VLOOKUP($B94,'Load Test Points'!$A$70:$D$89,2,FALSE),"-")</f>
        <v>-</v>
      </c>
      <c r="T94" s="189" t="str">
        <f>IFERROR(VLOOKUP($B94,'Load Test Points'!$A$70:$D$89,3,FALSE),"-")</f>
        <v>-</v>
      </c>
      <c r="U94" s="189" t="str">
        <f>IFERROR(VLOOKUP($B94,'Load Test Points'!$A$70:$D$89,4,FALSE),"-")</f>
        <v>-</v>
      </c>
      <c r="W94" s="159" t="e">
        <f t="shared" si="41"/>
        <v>#VALUE!</v>
      </c>
      <c r="X94" s="187" t="str">
        <f t="shared" ref="X94:X101" si="54">IFERROR(W94/O94,"-")</f>
        <v>-</v>
      </c>
      <c r="Y94" s="119"/>
      <c r="Z94" s="120" t="e">
        <f t="shared" si="42"/>
        <v>#VALUE!</v>
      </c>
      <c r="AA94" s="120" t="e">
        <f t="shared" ref="AA94:AA102" si="55">((O94*$AA$77)/$AA$76)^2</f>
        <v>#VALUE!</v>
      </c>
      <c r="AB94" s="120" t="e">
        <f t="shared" ref="AB94:AB102" si="56">(((O94*$AB$77)/$AB$76)/2)^2</f>
        <v>#VALUE!</v>
      </c>
      <c r="AC94" s="120" t="str">
        <f>IFERROR(VLOOKUP(S94,'Calibration Standards'!$G$13:$M$23,7,FALSE),"-")</f>
        <v>-</v>
      </c>
      <c r="AD94" s="120" t="str">
        <f>IFERROR(VLOOKUP(T94,'Calibration Standards'!$G$13:$M$23,7,FALSE),"-")</f>
        <v>-</v>
      </c>
      <c r="AE94" s="120" t="str">
        <f>IFERROR(VLOOKUP(U94,'Calibration Standards'!$G$13:$M$23,7,FALSE),"-")</f>
        <v>-</v>
      </c>
      <c r="AF94" s="120">
        <f>IFERROR(VLOOKUP(S94,'Calibration Standards'!$G$13:$O$23,9,FALSE)-VLOOKUP(S94,'Calibration Standards'!$G$13:$O$23,8,FALSE),0)</f>
        <v>0</v>
      </c>
      <c r="AG94" s="120">
        <f>IFERROR(VLOOKUP(T94,'Calibration Standards'!$G$13:$O$23,9,FALSE)-VLOOKUP(T94,'Calibration Standards'!$G$13:$O$23,8,FALSE),0)</f>
        <v>0</v>
      </c>
      <c r="AH94" s="120">
        <f>IFERROR(VLOOKUP(U94,'Calibration Standards'!$G$13:$O$23,9,FALSE)-VLOOKUP(U94,'Calibration Standards'!$G$13:$O$23,8,FALSE),0)</f>
        <v>0</v>
      </c>
      <c r="AI94" s="120">
        <f t="shared" ref="AI94:AI102" si="57">SUM(AF94:AH94)</f>
        <v>0</v>
      </c>
      <c r="AJ94" s="120">
        <f t="shared" ref="AJ94:AJ102" si="58">(AI94/$AJ$76)^2</f>
        <v>0</v>
      </c>
      <c r="AK94" s="120">
        <f>IFERROR(VLOOKUP(S94,'Calibration Standards'!$G$13:$Q$23,11,FALSE),0)</f>
        <v>0</v>
      </c>
      <c r="AL94" s="120">
        <f>IFERROR(VLOOKUP(T94,'Calibration Standards'!$G$13:$Q$23,11,FALSE),0)</f>
        <v>0</v>
      </c>
      <c r="AM94" s="120">
        <f>IFERROR(VLOOKUP(U94,'Calibration Standards'!$G$13:$Q$23,11,FALSE),0)</f>
        <v>0</v>
      </c>
      <c r="AN94" s="120">
        <f t="shared" ref="AN94:AN102" si="59">SUM(AK94:AM94)</f>
        <v>0</v>
      </c>
      <c r="AO94" s="120">
        <f t="shared" ref="AO94:AO102" si="60">(AN94/$AO$76)^2</f>
        <v>0</v>
      </c>
      <c r="AP94" s="120">
        <f t="shared" ref="AP94:AP102" si="61">$AP$77/$AP$76</f>
        <v>0</v>
      </c>
      <c r="AQ94" s="120">
        <f t="shared" ref="AQ94:AQ102" si="62">$AQ$77/$AQ$76</f>
        <v>0</v>
      </c>
      <c r="AR94" s="120" t="e">
        <f t="shared" si="43"/>
        <v>#VALUE!</v>
      </c>
      <c r="AS94" s="120" t="e">
        <f t="shared" si="44"/>
        <v>#VALUE!</v>
      </c>
      <c r="AT94" s="126" t="e">
        <f t="shared" si="45"/>
        <v>#VALUE!</v>
      </c>
      <c r="AU94" s="126" t="e">
        <f t="shared" ref="AU94:AU102" si="63">SQRT(AT94)</f>
        <v>#VALUE!</v>
      </c>
      <c r="AV94" s="121" t="e">
        <f t="shared" si="46"/>
        <v>#VALUE!</v>
      </c>
      <c r="AW94" s="122" t="e">
        <f t="shared" ref="AW94:AW102" si="64">AU94*2</f>
        <v>#VALUE!</v>
      </c>
      <c r="AX94" s="210" t="e">
        <f t="shared" ref="AX94:AX102" si="65">SUM(Z94,AJ94,AO94,AP94,AQ94,AR94,AS94)</f>
        <v>#VALUE!</v>
      </c>
      <c r="AY94" s="210" t="e">
        <f t="shared" ref="AY94:AY102" si="66">SQRT(AX94)</f>
        <v>#VALUE!</v>
      </c>
      <c r="AZ94" s="212" t="e">
        <f t="shared" ref="AZ94:AZ102" si="67">AY94/O94</f>
        <v>#VALUE!</v>
      </c>
      <c r="BA94" s="210" t="e">
        <f t="shared" ref="BA94:BA102" si="68">AY94*2</f>
        <v>#VALUE!</v>
      </c>
      <c r="BB94" s="178"/>
      <c r="BC94" s="145" t="str">
        <f>IFERROR(B101,"-")</f>
        <v>-</v>
      </c>
      <c r="BD94" s="149" t="str">
        <f>E101</f>
        <v>-</v>
      </c>
      <c r="BE94" s="147" t="str">
        <f>H101</f>
        <v>-</v>
      </c>
      <c r="BF94" s="133">
        <v>0.01</v>
      </c>
      <c r="BG94" s="148">
        <v>-0.01</v>
      </c>
      <c r="BH94" s="14"/>
      <c r="BI94" s="14"/>
      <c r="BJ94" s="14"/>
      <c r="BK94" s="14"/>
      <c r="BL94" s="14"/>
    </row>
    <row r="95" spans="1:64" x14ac:dyDescent="0.25">
      <c r="A95" s="278" t="s">
        <v>424</v>
      </c>
      <c r="B95" s="88" t="e">
        <f>VLOOKUP(INDEX('Load Test Points'!$A$28:$B$67, MATCH($G$16,'Load Test Points'!$A$28:$A$67,0),2),'Load Test Points'!$A$4:$K$24,4,FALSE)</f>
        <v>#N/A</v>
      </c>
      <c r="C95" s="209" t="str">
        <f t="shared" si="47"/>
        <v>-</v>
      </c>
      <c r="D95" s="89"/>
      <c r="E95" s="131" t="str">
        <f t="shared" si="37"/>
        <v>-</v>
      </c>
      <c r="F95" s="209" t="str">
        <f t="shared" si="48"/>
        <v>-</v>
      </c>
      <c r="G95" s="89"/>
      <c r="H95" s="131" t="str">
        <f t="shared" si="38"/>
        <v>-</v>
      </c>
      <c r="I95" s="209" t="str">
        <f t="shared" si="49"/>
        <v>-</v>
      </c>
      <c r="J95" s="89"/>
      <c r="K95" s="131" t="str">
        <f t="shared" si="39"/>
        <v>-</v>
      </c>
      <c r="L95" s="90" t="str">
        <f t="shared" si="50"/>
        <v>-</v>
      </c>
      <c r="M95" s="127" t="str">
        <f t="shared" si="51"/>
        <v>-</v>
      </c>
      <c r="N95" s="89" t="str">
        <f t="shared" si="52"/>
        <v>-</v>
      </c>
      <c r="O95" s="199" t="str">
        <f t="shared" si="53"/>
        <v>-</v>
      </c>
      <c r="P95" s="199">
        <f t="shared" si="40"/>
        <v>0</v>
      </c>
      <c r="Q95" s="342" t="s">
        <v>294</v>
      </c>
      <c r="R95" s="342"/>
      <c r="S95" s="189" t="str">
        <f>IFERROR(VLOOKUP($B95,'Load Test Points'!$A$70:$D$89,2,FALSE),"-")</f>
        <v>-</v>
      </c>
      <c r="T95" s="189" t="str">
        <f>IFERROR(VLOOKUP($B95,'Load Test Points'!$A$70:$D$89,3,FALSE),"-")</f>
        <v>-</v>
      </c>
      <c r="U95" s="189" t="str">
        <f>IFERROR(VLOOKUP($B95,'Load Test Points'!$A$70:$D$89,4,FALSE),"-")</f>
        <v>-</v>
      </c>
      <c r="W95" s="159" t="e">
        <f t="shared" si="41"/>
        <v>#VALUE!</v>
      </c>
      <c r="X95" s="187" t="str">
        <f t="shared" si="54"/>
        <v>-</v>
      </c>
      <c r="Y95" s="119"/>
      <c r="Z95" s="120" t="e">
        <f t="shared" si="42"/>
        <v>#VALUE!</v>
      </c>
      <c r="AA95" s="120" t="e">
        <f t="shared" si="55"/>
        <v>#VALUE!</v>
      </c>
      <c r="AB95" s="120" t="e">
        <f t="shared" si="56"/>
        <v>#VALUE!</v>
      </c>
      <c r="AC95" s="120" t="str">
        <f>IFERROR(VLOOKUP(S95,'Calibration Standards'!$G$13:$M$23,7,FALSE),"-")</f>
        <v>-</v>
      </c>
      <c r="AD95" s="120" t="str">
        <f>IFERROR(VLOOKUP(T95,'Calibration Standards'!$G$13:$M$23,7,FALSE),"-")</f>
        <v>-</v>
      </c>
      <c r="AE95" s="120" t="str">
        <f>IFERROR(VLOOKUP(U95,'Calibration Standards'!$G$13:$M$23,7,FALSE),"-")</f>
        <v>-</v>
      </c>
      <c r="AF95" s="120">
        <f>IFERROR(VLOOKUP(S95,'Calibration Standards'!$G$13:$O$23,9,FALSE)-VLOOKUP(S95,'Calibration Standards'!$G$13:$O$23,8,FALSE),0)</f>
        <v>0</v>
      </c>
      <c r="AG95" s="120">
        <f>IFERROR(VLOOKUP(T95,'Calibration Standards'!$G$13:$O$23,9,FALSE)-VLOOKUP(T95,'Calibration Standards'!$G$13:$O$23,8,FALSE),0)</f>
        <v>0</v>
      </c>
      <c r="AH95" s="120">
        <f>IFERROR(VLOOKUP(U95,'Calibration Standards'!$G$13:$O$23,9,FALSE)-VLOOKUP(U95,'Calibration Standards'!$G$13:$O$23,8,FALSE),0)</f>
        <v>0</v>
      </c>
      <c r="AI95" s="120">
        <f t="shared" si="57"/>
        <v>0</v>
      </c>
      <c r="AJ95" s="120">
        <f t="shared" si="58"/>
        <v>0</v>
      </c>
      <c r="AK95" s="120">
        <f>IFERROR(VLOOKUP(S95,'Calibration Standards'!$G$13:$Q$23,11,FALSE),0)</f>
        <v>0</v>
      </c>
      <c r="AL95" s="120">
        <f>IFERROR(VLOOKUP(T95,'Calibration Standards'!$G$13:$Q$23,11,FALSE),0)</f>
        <v>0</v>
      </c>
      <c r="AM95" s="120">
        <f>IFERROR(VLOOKUP(U95,'Calibration Standards'!$G$13:$Q$23,11,FALSE),0)</f>
        <v>0</v>
      </c>
      <c r="AN95" s="120">
        <f t="shared" si="59"/>
        <v>0</v>
      </c>
      <c r="AO95" s="120">
        <f t="shared" si="60"/>
        <v>0</v>
      </c>
      <c r="AP95" s="120">
        <f t="shared" si="61"/>
        <v>0</v>
      </c>
      <c r="AQ95" s="120">
        <f t="shared" si="62"/>
        <v>0</v>
      </c>
      <c r="AR95" s="120" t="e">
        <f t="shared" si="43"/>
        <v>#VALUE!</v>
      </c>
      <c r="AS95" s="120" t="e">
        <f t="shared" si="44"/>
        <v>#VALUE!</v>
      </c>
      <c r="AT95" s="126" t="e">
        <f t="shared" si="45"/>
        <v>#VALUE!</v>
      </c>
      <c r="AU95" s="126" t="e">
        <f t="shared" si="63"/>
        <v>#VALUE!</v>
      </c>
      <c r="AV95" s="121" t="e">
        <f t="shared" si="46"/>
        <v>#VALUE!</v>
      </c>
      <c r="AW95" s="122" t="e">
        <f t="shared" si="64"/>
        <v>#VALUE!</v>
      </c>
      <c r="AX95" s="210" t="e">
        <f t="shared" si="65"/>
        <v>#VALUE!</v>
      </c>
      <c r="AY95" s="210" t="e">
        <f t="shared" si="66"/>
        <v>#VALUE!</v>
      </c>
      <c r="AZ95" s="212" t="e">
        <f t="shared" si="67"/>
        <v>#VALUE!</v>
      </c>
      <c r="BA95" s="210" t="e">
        <f t="shared" si="68"/>
        <v>#VALUE!</v>
      </c>
      <c r="BB95" s="178"/>
      <c r="BC95" s="145" t="str">
        <f>IFERROR(B100,"-")</f>
        <v>-</v>
      </c>
      <c r="BD95" s="149" t="str">
        <f>E100</f>
        <v>-</v>
      </c>
      <c r="BE95" s="147" t="str">
        <f>H100</f>
        <v>-</v>
      </c>
      <c r="BF95" s="133">
        <v>0.01</v>
      </c>
      <c r="BG95" s="148">
        <v>-0.01</v>
      </c>
      <c r="BH95" s="14"/>
      <c r="BI95" s="14"/>
      <c r="BJ95" s="14"/>
      <c r="BK95" s="14"/>
      <c r="BL95" s="14"/>
    </row>
    <row r="96" spans="1:64" x14ac:dyDescent="0.25">
      <c r="A96" s="278" t="s">
        <v>424</v>
      </c>
      <c r="B96" s="88" t="e">
        <f>VLOOKUP(INDEX('Load Test Points'!$A$28:$B$67, MATCH($G$16,'Load Test Points'!$A$28:$A$67,0),2),'Load Test Points'!$A$4:$K$24,5,FALSE)</f>
        <v>#N/A</v>
      </c>
      <c r="C96" s="209" t="str">
        <f t="shared" si="47"/>
        <v>-</v>
      </c>
      <c r="D96" s="89"/>
      <c r="E96" s="131" t="str">
        <f t="shared" si="37"/>
        <v>-</v>
      </c>
      <c r="F96" s="209" t="str">
        <f t="shared" si="48"/>
        <v>-</v>
      </c>
      <c r="G96" s="89"/>
      <c r="H96" s="131" t="str">
        <f t="shared" si="38"/>
        <v>-</v>
      </c>
      <c r="I96" s="209" t="str">
        <f t="shared" si="49"/>
        <v>-</v>
      </c>
      <c r="J96" s="89"/>
      <c r="K96" s="131" t="str">
        <f t="shared" si="39"/>
        <v>-</v>
      </c>
      <c r="L96" s="90" t="str">
        <f t="shared" si="50"/>
        <v>-</v>
      </c>
      <c r="M96" s="127" t="str">
        <f t="shared" si="51"/>
        <v>-</v>
      </c>
      <c r="N96" s="89" t="str">
        <f t="shared" si="52"/>
        <v>-</v>
      </c>
      <c r="O96" s="199" t="str">
        <f t="shared" si="53"/>
        <v>-</v>
      </c>
      <c r="P96" s="199">
        <f t="shared" si="40"/>
        <v>0</v>
      </c>
      <c r="Q96" s="342" t="s">
        <v>295</v>
      </c>
      <c r="R96" s="342"/>
      <c r="S96" s="189" t="str">
        <f>IFERROR(VLOOKUP($B96,'Load Test Points'!$A$70:$D$89,2,FALSE),"-")</f>
        <v>-</v>
      </c>
      <c r="T96" s="189" t="str">
        <f>IFERROR(VLOOKUP($B96,'Load Test Points'!$A$70:$D$89,3,FALSE),"-")</f>
        <v>-</v>
      </c>
      <c r="U96" s="189" t="str">
        <f>IFERROR(VLOOKUP($B96,'Load Test Points'!$A$70:$D$89,4,FALSE),"-")</f>
        <v>-</v>
      </c>
      <c r="W96" s="159" t="e">
        <f t="shared" si="41"/>
        <v>#VALUE!</v>
      </c>
      <c r="X96" s="187" t="str">
        <f t="shared" si="54"/>
        <v>-</v>
      </c>
      <c r="Y96" s="119"/>
      <c r="Z96" s="120" t="e">
        <f t="shared" si="42"/>
        <v>#VALUE!</v>
      </c>
      <c r="AA96" s="120" t="e">
        <f t="shared" si="55"/>
        <v>#VALUE!</v>
      </c>
      <c r="AB96" s="120" t="e">
        <f t="shared" si="56"/>
        <v>#VALUE!</v>
      </c>
      <c r="AC96" s="120" t="str">
        <f>IFERROR(VLOOKUP(S96,'Calibration Standards'!$G$13:$M$23,7,FALSE),"-")</f>
        <v>-</v>
      </c>
      <c r="AD96" s="120" t="str">
        <f>IFERROR(VLOOKUP(T96,'Calibration Standards'!$G$13:$M$23,7,FALSE),"-")</f>
        <v>-</v>
      </c>
      <c r="AE96" s="120" t="str">
        <f>IFERROR(VLOOKUP(U96,'Calibration Standards'!$G$13:$M$23,7,FALSE),"-")</f>
        <v>-</v>
      </c>
      <c r="AF96" s="120">
        <f>IFERROR(VLOOKUP(S96,'Calibration Standards'!$G$13:$O$23,9,FALSE)-VLOOKUP(S96,'Calibration Standards'!$G$13:$O$23,8,FALSE),0)</f>
        <v>0</v>
      </c>
      <c r="AG96" s="120">
        <f>IFERROR(VLOOKUP(T96,'Calibration Standards'!$G$13:$O$23,9,FALSE)-VLOOKUP(T96,'Calibration Standards'!$G$13:$O$23,8,FALSE),0)</f>
        <v>0</v>
      </c>
      <c r="AH96" s="120">
        <f>IFERROR(VLOOKUP(U96,'Calibration Standards'!$G$13:$O$23,9,FALSE)-VLOOKUP(U96,'Calibration Standards'!$G$13:$O$23,8,FALSE),0)</f>
        <v>0</v>
      </c>
      <c r="AI96" s="120">
        <f t="shared" si="57"/>
        <v>0</v>
      </c>
      <c r="AJ96" s="120">
        <f t="shared" si="58"/>
        <v>0</v>
      </c>
      <c r="AK96" s="120">
        <f>IFERROR(VLOOKUP(S96,'Calibration Standards'!$G$13:$Q$23,11,FALSE),0)</f>
        <v>0</v>
      </c>
      <c r="AL96" s="120">
        <f>IFERROR(VLOOKUP(T96,'Calibration Standards'!$G$13:$Q$23,11,FALSE),0)</f>
        <v>0</v>
      </c>
      <c r="AM96" s="120">
        <f>IFERROR(VLOOKUP(U96,'Calibration Standards'!$G$13:$Q$23,11,FALSE),0)</f>
        <v>0</v>
      </c>
      <c r="AN96" s="120">
        <f t="shared" si="59"/>
        <v>0</v>
      </c>
      <c r="AO96" s="120">
        <f t="shared" si="60"/>
        <v>0</v>
      </c>
      <c r="AP96" s="120">
        <f t="shared" si="61"/>
        <v>0</v>
      </c>
      <c r="AQ96" s="120">
        <f t="shared" si="62"/>
        <v>0</v>
      </c>
      <c r="AR96" s="120" t="e">
        <f t="shared" si="43"/>
        <v>#VALUE!</v>
      </c>
      <c r="AS96" s="120" t="e">
        <f t="shared" si="44"/>
        <v>#VALUE!</v>
      </c>
      <c r="AT96" s="126" t="e">
        <f t="shared" si="45"/>
        <v>#VALUE!</v>
      </c>
      <c r="AU96" s="126" t="e">
        <f t="shared" si="63"/>
        <v>#VALUE!</v>
      </c>
      <c r="AV96" s="121" t="e">
        <f t="shared" si="46"/>
        <v>#VALUE!</v>
      </c>
      <c r="AW96" s="122" t="e">
        <f t="shared" si="64"/>
        <v>#VALUE!</v>
      </c>
      <c r="AX96" s="210" t="e">
        <f t="shared" si="65"/>
        <v>#VALUE!</v>
      </c>
      <c r="AY96" s="210" t="e">
        <f t="shared" si="66"/>
        <v>#VALUE!</v>
      </c>
      <c r="AZ96" s="212" t="e">
        <f t="shared" si="67"/>
        <v>#VALUE!</v>
      </c>
      <c r="BA96" s="210" t="e">
        <f t="shared" si="68"/>
        <v>#VALUE!</v>
      </c>
      <c r="BB96" s="178"/>
      <c r="BC96" s="145" t="str">
        <f>IFERROR(B99,"-")</f>
        <v>-</v>
      </c>
      <c r="BD96" s="149" t="str">
        <f>E99</f>
        <v>-</v>
      </c>
      <c r="BE96" s="147" t="str">
        <f>H99</f>
        <v>-</v>
      </c>
      <c r="BF96" s="133">
        <v>0.01</v>
      </c>
      <c r="BG96" s="148">
        <v>-0.01</v>
      </c>
      <c r="BH96" s="14"/>
      <c r="BI96" s="14"/>
      <c r="BJ96" s="14"/>
      <c r="BK96" s="14"/>
      <c r="BL96" s="14"/>
    </row>
    <row r="97" spans="1:64" x14ac:dyDescent="0.25">
      <c r="A97" s="278" t="s">
        <v>424</v>
      </c>
      <c r="B97" s="88" t="e">
        <f>VLOOKUP(INDEX('Load Test Points'!$A$28:$B$67, MATCH($G$16,'Load Test Points'!$A$28:$A$67,0),2),'Load Test Points'!$A$4:$K$24,6,FALSE)</f>
        <v>#N/A</v>
      </c>
      <c r="C97" s="209" t="str">
        <f t="shared" si="47"/>
        <v>-</v>
      </c>
      <c r="D97" s="89"/>
      <c r="E97" s="131" t="str">
        <f t="shared" si="37"/>
        <v>-</v>
      </c>
      <c r="F97" s="209" t="str">
        <f t="shared" si="48"/>
        <v>-</v>
      </c>
      <c r="G97" s="89"/>
      <c r="H97" s="131" t="str">
        <f t="shared" si="38"/>
        <v>-</v>
      </c>
      <c r="I97" s="209" t="str">
        <f t="shared" si="49"/>
        <v>-</v>
      </c>
      <c r="J97" s="89"/>
      <c r="K97" s="131" t="str">
        <f t="shared" si="39"/>
        <v>-</v>
      </c>
      <c r="L97" s="90" t="str">
        <f t="shared" si="50"/>
        <v>-</v>
      </c>
      <c r="M97" s="127" t="str">
        <f t="shared" si="51"/>
        <v>-</v>
      </c>
      <c r="N97" s="89" t="str">
        <f t="shared" si="52"/>
        <v>-</v>
      </c>
      <c r="O97" s="199" t="str">
        <f t="shared" si="53"/>
        <v>-</v>
      </c>
      <c r="P97" s="199">
        <f t="shared" si="40"/>
        <v>0</v>
      </c>
      <c r="Q97" s="342" t="s">
        <v>296</v>
      </c>
      <c r="R97" s="342"/>
      <c r="S97" s="189" t="str">
        <f>IFERROR(VLOOKUP($B97,'Load Test Points'!$A$70:$D$89,2,FALSE),"-")</f>
        <v>-</v>
      </c>
      <c r="T97" s="189" t="str">
        <f>IFERROR(VLOOKUP($B97,'Load Test Points'!$A$70:$D$89,3,FALSE),"-")</f>
        <v>-</v>
      </c>
      <c r="U97" s="189" t="str">
        <f>IFERROR(VLOOKUP($B97,'Load Test Points'!$A$70:$D$89,4,FALSE),"-")</f>
        <v>-</v>
      </c>
      <c r="W97" s="159" t="e">
        <f t="shared" si="41"/>
        <v>#VALUE!</v>
      </c>
      <c r="X97" s="187" t="str">
        <f t="shared" si="54"/>
        <v>-</v>
      </c>
      <c r="Y97" s="119"/>
      <c r="Z97" s="120" t="e">
        <f t="shared" si="42"/>
        <v>#VALUE!</v>
      </c>
      <c r="AA97" s="120" t="e">
        <f t="shared" si="55"/>
        <v>#VALUE!</v>
      </c>
      <c r="AB97" s="120" t="e">
        <f t="shared" si="56"/>
        <v>#VALUE!</v>
      </c>
      <c r="AC97" s="120" t="str">
        <f>IFERROR(VLOOKUP(S97,'Calibration Standards'!$G$13:$M$23,7,FALSE),"-")</f>
        <v>-</v>
      </c>
      <c r="AD97" s="120" t="str">
        <f>IFERROR(VLOOKUP(T97,'Calibration Standards'!$G$13:$M$23,7,FALSE),"-")</f>
        <v>-</v>
      </c>
      <c r="AE97" s="120" t="str">
        <f>IFERROR(VLOOKUP(U97,'Calibration Standards'!$G$13:$M$23,7,FALSE),"-")</f>
        <v>-</v>
      </c>
      <c r="AF97" s="120">
        <f>IFERROR(VLOOKUP(S97,'Calibration Standards'!$G$13:$O$23,9,FALSE)-VLOOKUP(S97,'Calibration Standards'!$G$13:$O$23,8,FALSE),0)</f>
        <v>0</v>
      </c>
      <c r="AG97" s="120">
        <f>IFERROR(VLOOKUP(T97,'Calibration Standards'!$G$13:$O$23,9,FALSE)-VLOOKUP(T97,'Calibration Standards'!$G$13:$O$23,8,FALSE),0)</f>
        <v>0</v>
      </c>
      <c r="AH97" s="120">
        <f>IFERROR(VLOOKUP(U97,'Calibration Standards'!$G$13:$O$23,9,FALSE)-VLOOKUP(U97,'Calibration Standards'!$G$13:$O$23,8,FALSE),0)</f>
        <v>0</v>
      </c>
      <c r="AI97" s="120">
        <f t="shared" si="57"/>
        <v>0</v>
      </c>
      <c r="AJ97" s="120">
        <f t="shared" si="58"/>
        <v>0</v>
      </c>
      <c r="AK97" s="120">
        <f>IFERROR(VLOOKUP(S97,'Calibration Standards'!$G$13:$Q$23,11,FALSE),0)</f>
        <v>0</v>
      </c>
      <c r="AL97" s="120">
        <f>IFERROR(VLOOKUP(T97,'Calibration Standards'!$G$13:$Q$23,11,FALSE),0)</f>
        <v>0</v>
      </c>
      <c r="AM97" s="120">
        <f>IFERROR(VLOOKUP(U97,'Calibration Standards'!$G$13:$Q$23,11,FALSE),0)</f>
        <v>0</v>
      </c>
      <c r="AN97" s="120">
        <f t="shared" si="59"/>
        <v>0</v>
      </c>
      <c r="AO97" s="120">
        <f t="shared" si="60"/>
        <v>0</v>
      </c>
      <c r="AP97" s="120">
        <f t="shared" si="61"/>
        <v>0</v>
      </c>
      <c r="AQ97" s="120">
        <f t="shared" si="62"/>
        <v>0</v>
      </c>
      <c r="AR97" s="120" t="e">
        <f t="shared" si="43"/>
        <v>#VALUE!</v>
      </c>
      <c r="AS97" s="120" t="e">
        <f t="shared" si="44"/>
        <v>#VALUE!</v>
      </c>
      <c r="AT97" s="126" t="e">
        <f t="shared" si="45"/>
        <v>#VALUE!</v>
      </c>
      <c r="AU97" s="126" t="e">
        <f t="shared" si="63"/>
        <v>#VALUE!</v>
      </c>
      <c r="AV97" s="121" t="e">
        <f t="shared" si="46"/>
        <v>#VALUE!</v>
      </c>
      <c r="AW97" s="122" t="e">
        <f t="shared" si="64"/>
        <v>#VALUE!</v>
      </c>
      <c r="AX97" s="210" t="e">
        <f t="shared" si="65"/>
        <v>#VALUE!</v>
      </c>
      <c r="AY97" s="210" t="e">
        <f t="shared" si="66"/>
        <v>#VALUE!</v>
      </c>
      <c r="AZ97" s="212" t="e">
        <f t="shared" si="67"/>
        <v>#VALUE!</v>
      </c>
      <c r="BA97" s="210" t="e">
        <f t="shared" si="68"/>
        <v>#VALUE!</v>
      </c>
      <c r="BB97" s="178"/>
      <c r="BC97" s="145" t="str">
        <f>IFERROR(B98,"-")</f>
        <v>-</v>
      </c>
      <c r="BD97" s="149" t="str">
        <f>E98</f>
        <v>-</v>
      </c>
      <c r="BE97" s="147" t="str">
        <f>H98</f>
        <v>-</v>
      </c>
      <c r="BF97" s="133">
        <v>0.01</v>
      </c>
      <c r="BG97" s="148">
        <v>-0.01</v>
      </c>
      <c r="BH97" s="14"/>
      <c r="BI97" s="14"/>
      <c r="BJ97" s="14"/>
      <c r="BK97" s="14"/>
      <c r="BL97" s="14"/>
    </row>
    <row r="98" spans="1:64" x14ac:dyDescent="0.25">
      <c r="A98" s="278" t="s">
        <v>424</v>
      </c>
      <c r="B98" s="88" t="e">
        <f>VLOOKUP(INDEX('Load Test Points'!$A$28:$B$67, MATCH($G$16,'Load Test Points'!$A$28:$A$67,0),2),'Load Test Points'!$A$4:$K$24,7,FALSE)</f>
        <v>#N/A</v>
      </c>
      <c r="C98" s="209" t="str">
        <f t="shared" si="47"/>
        <v>-</v>
      </c>
      <c r="D98" s="89"/>
      <c r="E98" s="131" t="str">
        <f t="shared" si="37"/>
        <v>-</v>
      </c>
      <c r="F98" s="209" t="str">
        <f t="shared" si="48"/>
        <v>-</v>
      </c>
      <c r="G98" s="89"/>
      <c r="H98" s="131" t="str">
        <f t="shared" si="38"/>
        <v>-</v>
      </c>
      <c r="I98" s="209" t="str">
        <f t="shared" si="49"/>
        <v>-</v>
      </c>
      <c r="J98" s="89"/>
      <c r="K98" s="131" t="str">
        <f t="shared" si="39"/>
        <v>-</v>
      </c>
      <c r="L98" s="90" t="str">
        <f t="shared" si="50"/>
        <v>-</v>
      </c>
      <c r="M98" s="127" t="str">
        <f t="shared" si="51"/>
        <v>-</v>
      </c>
      <c r="N98" s="89" t="str">
        <f t="shared" si="52"/>
        <v>-</v>
      </c>
      <c r="O98" s="199" t="str">
        <f t="shared" si="53"/>
        <v>-</v>
      </c>
      <c r="P98" s="199">
        <f t="shared" si="40"/>
        <v>0</v>
      </c>
      <c r="Q98" s="342" t="s">
        <v>297</v>
      </c>
      <c r="R98" s="342"/>
      <c r="S98" s="189" t="str">
        <f>IFERROR(VLOOKUP($B98,'Load Test Points'!$A$70:$D$89,2,FALSE),"-")</f>
        <v>-</v>
      </c>
      <c r="T98" s="189" t="str">
        <f>IFERROR(VLOOKUP($B98,'Load Test Points'!$A$70:$D$89,3,FALSE),"-")</f>
        <v>-</v>
      </c>
      <c r="U98" s="189" t="str">
        <f>IFERROR(VLOOKUP($B98,'Load Test Points'!$A$70:$D$89,4,FALSE),"-")</f>
        <v>-</v>
      </c>
      <c r="W98" s="159" t="e">
        <f t="shared" si="41"/>
        <v>#VALUE!</v>
      </c>
      <c r="X98" s="187" t="str">
        <f t="shared" si="54"/>
        <v>-</v>
      </c>
      <c r="Y98" s="119"/>
      <c r="Z98" s="120" t="e">
        <f t="shared" si="42"/>
        <v>#VALUE!</v>
      </c>
      <c r="AA98" s="120" t="e">
        <f t="shared" si="55"/>
        <v>#VALUE!</v>
      </c>
      <c r="AB98" s="120" t="e">
        <f t="shared" si="56"/>
        <v>#VALUE!</v>
      </c>
      <c r="AC98" s="120" t="str">
        <f>IFERROR(VLOOKUP(S98,'Calibration Standards'!$G$13:$M$23,7,FALSE),"-")</f>
        <v>-</v>
      </c>
      <c r="AD98" s="120" t="str">
        <f>IFERROR(VLOOKUP(T98,'Calibration Standards'!$G$13:$M$23,7,FALSE),"-")</f>
        <v>-</v>
      </c>
      <c r="AE98" s="120" t="str">
        <f>IFERROR(VLOOKUP(U98,'Calibration Standards'!$G$13:$M$23,7,FALSE),"-")</f>
        <v>-</v>
      </c>
      <c r="AF98" s="120">
        <f>IFERROR(VLOOKUP(S98,'Calibration Standards'!$G$13:$O$23,9,FALSE)-VLOOKUP(S98,'Calibration Standards'!$G$13:$O$23,8,FALSE),0)</f>
        <v>0</v>
      </c>
      <c r="AG98" s="120">
        <f>IFERROR(VLOOKUP(T98,'Calibration Standards'!$G$13:$O$23,9,FALSE)-VLOOKUP(T98,'Calibration Standards'!$G$13:$O$23,8,FALSE),0)</f>
        <v>0</v>
      </c>
      <c r="AH98" s="120">
        <f>IFERROR(VLOOKUP(U98,'Calibration Standards'!$G$13:$O$23,9,FALSE)-VLOOKUP(U98,'Calibration Standards'!$G$13:$O$23,8,FALSE),0)</f>
        <v>0</v>
      </c>
      <c r="AI98" s="120">
        <f t="shared" si="57"/>
        <v>0</v>
      </c>
      <c r="AJ98" s="120">
        <f t="shared" si="58"/>
        <v>0</v>
      </c>
      <c r="AK98" s="120">
        <f>IFERROR(VLOOKUP(S98,'Calibration Standards'!$G$13:$Q$23,11,FALSE),0)</f>
        <v>0</v>
      </c>
      <c r="AL98" s="120">
        <f>IFERROR(VLOOKUP(T98,'Calibration Standards'!$G$13:$Q$23,11,FALSE),0)</f>
        <v>0</v>
      </c>
      <c r="AM98" s="120">
        <f>IFERROR(VLOOKUP(U98,'Calibration Standards'!$G$13:$Q$23,11,FALSE),0)</f>
        <v>0</v>
      </c>
      <c r="AN98" s="120">
        <f t="shared" si="59"/>
        <v>0</v>
      </c>
      <c r="AO98" s="120">
        <f t="shared" si="60"/>
        <v>0</v>
      </c>
      <c r="AP98" s="120">
        <f t="shared" si="61"/>
        <v>0</v>
      </c>
      <c r="AQ98" s="120">
        <f t="shared" si="62"/>
        <v>0</v>
      </c>
      <c r="AR98" s="120" t="e">
        <f t="shared" si="43"/>
        <v>#VALUE!</v>
      </c>
      <c r="AS98" s="120" t="e">
        <f t="shared" si="44"/>
        <v>#VALUE!</v>
      </c>
      <c r="AT98" s="126" t="e">
        <f t="shared" si="45"/>
        <v>#VALUE!</v>
      </c>
      <c r="AU98" s="126" t="e">
        <f t="shared" si="63"/>
        <v>#VALUE!</v>
      </c>
      <c r="AV98" s="121" t="e">
        <f t="shared" si="46"/>
        <v>#VALUE!</v>
      </c>
      <c r="AW98" s="122" t="e">
        <f t="shared" si="64"/>
        <v>#VALUE!</v>
      </c>
      <c r="AX98" s="210" t="e">
        <f t="shared" si="65"/>
        <v>#VALUE!</v>
      </c>
      <c r="AY98" s="210" t="e">
        <f t="shared" si="66"/>
        <v>#VALUE!</v>
      </c>
      <c r="AZ98" s="212" t="e">
        <f t="shared" si="67"/>
        <v>#VALUE!</v>
      </c>
      <c r="BA98" s="210" t="e">
        <f t="shared" si="68"/>
        <v>#VALUE!</v>
      </c>
      <c r="BB98" s="178"/>
      <c r="BC98" s="145" t="str">
        <f>IFERROR(B97,"-")</f>
        <v>-</v>
      </c>
      <c r="BD98" s="149" t="str">
        <f>E97</f>
        <v>-</v>
      </c>
      <c r="BE98" s="147" t="str">
        <f>H97</f>
        <v>-</v>
      </c>
      <c r="BF98" s="133">
        <v>0.01</v>
      </c>
      <c r="BG98" s="148">
        <v>-0.01</v>
      </c>
      <c r="BH98" s="14"/>
      <c r="BI98" s="14"/>
      <c r="BJ98" s="14"/>
      <c r="BK98" s="14"/>
      <c r="BL98" s="14"/>
    </row>
    <row r="99" spans="1:64" x14ac:dyDescent="0.25">
      <c r="A99" s="278" t="s">
        <v>424</v>
      </c>
      <c r="B99" s="164" t="e">
        <f>VLOOKUP(INDEX('Load Test Points'!$A$28:$B$67, MATCH($G$16,'Load Test Points'!$A$28:$A$67,0),2),'Load Test Points'!$A$4:$K$24,8,FALSE)</f>
        <v>#N/A</v>
      </c>
      <c r="C99" s="209" t="str">
        <f t="shared" si="47"/>
        <v>-</v>
      </c>
      <c r="D99" s="89"/>
      <c r="E99" s="131" t="str">
        <f t="shared" si="37"/>
        <v>-</v>
      </c>
      <c r="F99" s="209" t="str">
        <f t="shared" si="48"/>
        <v>-</v>
      </c>
      <c r="G99" s="89"/>
      <c r="H99" s="131" t="str">
        <f t="shared" si="38"/>
        <v>-</v>
      </c>
      <c r="I99" s="209" t="str">
        <f t="shared" si="49"/>
        <v>-</v>
      </c>
      <c r="J99" s="89"/>
      <c r="K99" s="131" t="str">
        <f t="shared" si="39"/>
        <v>-</v>
      </c>
      <c r="L99" s="90" t="str">
        <f t="shared" si="50"/>
        <v>-</v>
      </c>
      <c r="M99" s="127" t="str">
        <f t="shared" si="51"/>
        <v>-</v>
      </c>
      <c r="N99" s="89" t="str">
        <f t="shared" si="52"/>
        <v>-</v>
      </c>
      <c r="O99" s="199" t="str">
        <f t="shared" si="53"/>
        <v>-</v>
      </c>
      <c r="P99" s="199">
        <f t="shared" si="40"/>
        <v>0</v>
      </c>
      <c r="Q99" s="342" t="s">
        <v>298</v>
      </c>
      <c r="R99" s="342"/>
      <c r="S99" s="189" t="str">
        <f>IFERROR(VLOOKUP($B99,'Load Test Points'!$A$70:$D$89,2,FALSE),"-")</f>
        <v>-</v>
      </c>
      <c r="T99" s="189" t="str">
        <f>IFERROR(VLOOKUP($B99,'Load Test Points'!$A$70:$D$89,3,FALSE),"-")</f>
        <v>-</v>
      </c>
      <c r="U99" s="189" t="str">
        <f>IFERROR(VLOOKUP($B99,'Load Test Points'!$A$70:$D$89,4,FALSE),"-")</f>
        <v>-</v>
      </c>
      <c r="W99" s="159" t="e">
        <f t="shared" si="41"/>
        <v>#VALUE!</v>
      </c>
      <c r="X99" s="187" t="str">
        <f t="shared" si="54"/>
        <v>-</v>
      </c>
      <c r="Y99" s="119"/>
      <c r="Z99" s="120" t="e">
        <f t="shared" si="42"/>
        <v>#VALUE!</v>
      </c>
      <c r="AA99" s="120" t="e">
        <f t="shared" si="55"/>
        <v>#VALUE!</v>
      </c>
      <c r="AB99" s="120" t="e">
        <f t="shared" si="56"/>
        <v>#VALUE!</v>
      </c>
      <c r="AC99" s="120" t="str">
        <f>IFERROR(VLOOKUP(S99,'Calibration Standards'!$G$13:$M$23,7,FALSE),"-")</f>
        <v>-</v>
      </c>
      <c r="AD99" s="120" t="str">
        <f>IFERROR(VLOOKUP(T99,'Calibration Standards'!$G$13:$M$23,7,FALSE),"-")</f>
        <v>-</v>
      </c>
      <c r="AE99" s="120" t="str">
        <f>IFERROR(VLOOKUP(U99,'Calibration Standards'!$G$13:$M$23,7,FALSE),"-")</f>
        <v>-</v>
      </c>
      <c r="AF99" s="120">
        <f>IFERROR(VLOOKUP(S99,'Calibration Standards'!$G$13:$O$23,9,FALSE)-VLOOKUP(S99,'Calibration Standards'!$G$13:$O$23,8,FALSE),0)</f>
        <v>0</v>
      </c>
      <c r="AG99" s="120">
        <f>IFERROR(VLOOKUP(T99,'Calibration Standards'!$G$13:$O$23,9,FALSE)-VLOOKUP(T99,'Calibration Standards'!$G$13:$O$23,8,FALSE),0)</f>
        <v>0</v>
      </c>
      <c r="AH99" s="120">
        <f>IFERROR(VLOOKUP(U99,'Calibration Standards'!$G$13:$O$23,9,FALSE)-VLOOKUP(U99,'Calibration Standards'!$G$13:$O$23,8,FALSE),0)</f>
        <v>0</v>
      </c>
      <c r="AI99" s="120">
        <f t="shared" si="57"/>
        <v>0</v>
      </c>
      <c r="AJ99" s="120">
        <f t="shared" si="58"/>
        <v>0</v>
      </c>
      <c r="AK99" s="120">
        <f>IFERROR(VLOOKUP(S99,'Calibration Standards'!$G$13:$Q$23,11,FALSE),0)</f>
        <v>0</v>
      </c>
      <c r="AL99" s="120">
        <f>IFERROR(VLOOKUP(T99,'Calibration Standards'!$G$13:$Q$23,11,FALSE),0)</f>
        <v>0</v>
      </c>
      <c r="AM99" s="120">
        <f>IFERROR(VLOOKUP(U99,'Calibration Standards'!$G$13:$Q$23,11,FALSE),0)</f>
        <v>0</v>
      </c>
      <c r="AN99" s="120">
        <f t="shared" si="59"/>
        <v>0</v>
      </c>
      <c r="AO99" s="120">
        <f t="shared" si="60"/>
        <v>0</v>
      </c>
      <c r="AP99" s="120">
        <f t="shared" si="61"/>
        <v>0</v>
      </c>
      <c r="AQ99" s="120">
        <f t="shared" si="62"/>
        <v>0</v>
      </c>
      <c r="AR99" s="120" t="e">
        <f t="shared" si="43"/>
        <v>#VALUE!</v>
      </c>
      <c r="AS99" s="120" t="e">
        <f t="shared" si="44"/>
        <v>#VALUE!</v>
      </c>
      <c r="AT99" s="126" t="e">
        <f t="shared" si="45"/>
        <v>#VALUE!</v>
      </c>
      <c r="AU99" s="126" t="e">
        <f t="shared" si="63"/>
        <v>#VALUE!</v>
      </c>
      <c r="AV99" s="121" t="e">
        <f t="shared" si="46"/>
        <v>#VALUE!</v>
      </c>
      <c r="AW99" s="122" t="e">
        <f t="shared" si="64"/>
        <v>#VALUE!</v>
      </c>
      <c r="AX99" s="210" t="e">
        <f t="shared" si="65"/>
        <v>#VALUE!</v>
      </c>
      <c r="AY99" s="210" t="e">
        <f t="shared" si="66"/>
        <v>#VALUE!</v>
      </c>
      <c r="AZ99" s="212" t="e">
        <f t="shared" si="67"/>
        <v>#VALUE!</v>
      </c>
      <c r="BA99" s="210" t="e">
        <f t="shared" si="68"/>
        <v>#VALUE!</v>
      </c>
      <c r="BB99" s="178"/>
      <c r="BC99" s="145" t="str">
        <f>IFERROR(B96,"-")</f>
        <v>-</v>
      </c>
      <c r="BD99" s="149" t="str">
        <f>E96</f>
        <v>-</v>
      </c>
      <c r="BE99" s="147" t="str">
        <f>H96</f>
        <v>-</v>
      </c>
      <c r="BF99" s="133">
        <v>0.01</v>
      </c>
      <c r="BG99" s="148">
        <v>-0.01</v>
      </c>
      <c r="BH99" s="14"/>
      <c r="BI99" s="14"/>
      <c r="BJ99" s="14"/>
      <c r="BK99" s="14"/>
      <c r="BL99" s="14"/>
    </row>
    <row r="100" spans="1:64" ht="15" customHeight="1" x14ac:dyDescent="0.25">
      <c r="A100" s="278" t="s">
        <v>424</v>
      </c>
      <c r="B100" s="164" t="e">
        <f>VLOOKUP(INDEX('Load Test Points'!$A$28:$B$67, MATCH($G$16,'Load Test Points'!$A$28:$A$67,0),2),'Load Test Points'!$A$4:$K$24,9,FALSE)</f>
        <v>#N/A</v>
      </c>
      <c r="C100" s="209" t="str">
        <f t="shared" si="47"/>
        <v>-</v>
      </c>
      <c r="D100" s="89"/>
      <c r="E100" s="131" t="str">
        <f t="shared" si="37"/>
        <v>-</v>
      </c>
      <c r="F100" s="209" t="str">
        <f t="shared" si="48"/>
        <v>-</v>
      </c>
      <c r="G100" s="89"/>
      <c r="H100" s="131" t="str">
        <f t="shared" si="38"/>
        <v>-</v>
      </c>
      <c r="I100" s="209" t="str">
        <f t="shared" si="49"/>
        <v>-</v>
      </c>
      <c r="J100" s="89"/>
      <c r="K100" s="131" t="str">
        <f t="shared" si="39"/>
        <v>-</v>
      </c>
      <c r="L100" s="90" t="str">
        <f t="shared" si="50"/>
        <v>-</v>
      </c>
      <c r="M100" s="127" t="str">
        <f t="shared" si="51"/>
        <v>-</v>
      </c>
      <c r="N100" s="89" t="str">
        <f t="shared" si="52"/>
        <v>-</v>
      </c>
      <c r="O100" s="199" t="str">
        <f t="shared" si="53"/>
        <v>-</v>
      </c>
      <c r="P100" s="199">
        <f t="shared" si="40"/>
        <v>0</v>
      </c>
      <c r="Q100" s="342" t="s">
        <v>299</v>
      </c>
      <c r="R100" s="342"/>
      <c r="S100" s="189" t="str">
        <f>IFERROR(VLOOKUP($B100,'Load Test Points'!$A$70:$D$89,2,FALSE),"-")</f>
        <v>-</v>
      </c>
      <c r="T100" s="189" t="str">
        <f>IFERROR(VLOOKUP($B100,'Load Test Points'!$A$70:$D$89,3,FALSE),"-")</f>
        <v>-</v>
      </c>
      <c r="U100" s="189" t="str">
        <f>IFERROR(VLOOKUP($B100,'Load Test Points'!$A$70:$D$89,4,FALSE),"-")</f>
        <v>-</v>
      </c>
      <c r="W100" s="159" t="e">
        <f t="shared" si="41"/>
        <v>#VALUE!</v>
      </c>
      <c r="X100" s="187" t="str">
        <f t="shared" si="54"/>
        <v>-</v>
      </c>
      <c r="Y100" s="119"/>
      <c r="Z100" s="120" t="e">
        <f t="shared" si="42"/>
        <v>#VALUE!</v>
      </c>
      <c r="AA100" s="120" t="e">
        <f t="shared" si="55"/>
        <v>#VALUE!</v>
      </c>
      <c r="AB100" s="120" t="e">
        <f t="shared" si="56"/>
        <v>#VALUE!</v>
      </c>
      <c r="AC100" s="120" t="str">
        <f>IFERROR(VLOOKUP(S100,'Calibration Standards'!$G$13:$M$23,7,FALSE),"-")</f>
        <v>-</v>
      </c>
      <c r="AD100" s="120" t="str">
        <f>IFERROR(VLOOKUP(T100,'Calibration Standards'!$G$13:$M$23,7,FALSE),"-")</f>
        <v>-</v>
      </c>
      <c r="AE100" s="120" t="str">
        <f>IFERROR(VLOOKUP(U100,'Calibration Standards'!$G$13:$M$23,7,FALSE),"-")</f>
        <v>-</v>
      </c>
      <c r="AF100" s="120">
        <f>IFERROR(VLOOKUP(S100,'Calibration Standards'!$G$13:$O$23,9,FALSE)-VLOOKUP(S100,'Calibration Standards'!$G$13:$O$23,8,FALSE),0)</f>
        <v>0</v>
      </c>
      <c r="AG100" s="120">
        <f>IFERROR(VLOOKUP(T100,'Calibration Standards'!$G$13:$O$23,9,FALSE)-VLOOKUP(T100,'Calibration Standards'!$G$13:$O$23,8,FALSE),0)</f>
        <v>0</v>
      </c>
      <c r="AH100" s="120">
        <f>IFERROR(VLOOKUP(U100,'Calibration Standards'!$G$13:$O$23,9,FALSE)-VLOOKUP(U100,'Calibration Standards'!$G$13:$O$23,8,FALSE),0)</f>
        <v>0</v>
      </c>
      <c r="AI100" s="120">
        <f t="shared" si="57"/>
        <v>0</v>
      </c>
      <c r="AJ100" s="120">
        <f t="shared" si="58"/>
        <v>0</v>
      </c>
      <c r="AK100" s="120">
        <f>IFERROR(VLOOKUP(S100,'Calibration Standards'!$G$13:$Q$23,11,FALSE),0)</f>
        <v>0</v>
      </c>
      <c r="AL100" s="120">
        <f>IFERROR(VLOOKUP(T100,'Calibration Standards'!$G$13:$Q$23,11,FALSE),0)</f>
        <v>0</v>
      </c>
      <c r="AM100" s="120">
        <f>IFERROR(VLOOKUP(U100,'Calibration Standards'!$G$13:$Q$23,11,FALSE),0)</f>
        <v>0</v>
      </c>
      <c r="AN100" s="120">
        <f t="shared" si="59"/>
        <v>0</v>
      </c>
      <c r="AO100" s="120">
        <f t="shared" si="60"/>
        <v>0</v>
      </c>
      <c r="AP100" s="120">
        <f t="shared" si="61"/>
        <v>0</v>
      </c>
      <c r="AQ100" s="120">
        <f t="shared" si="62"/>
        <v>0</v>
      </c>
      <c r="AR100" s="120" t="e">
        <f t="shared" si="43"/>
        <v>#VALUE!</v>
      </c>
      <c r="AS100" s="120" t="e">
        <f t="shared" si="44"/>
        <v>#VALUE!</v>
      </c>
      <c r="AT100" s="126" t="e">
        <f t="shared" si="45"/>
        <v>#VALUE!</v>
      </c>
      <c r="AU100" s="126" t="e">
        <f t="shared" si="63"/>
        <v>#VALUE!</v>
      </c>
      <c r="AV100" s="121" t="e">
        <f t="shared" si="46"/>
        <v>#VALUE!</v>
      </c>
      <c r="AW100" s="122" t="e">
        <f t="shared" si="64"/>
        <v>#VALUE!</v>
      </c>
      <c r="AX100" s="210" t="e">
        <f t="shared" si="65"/>
        <v>#VALUE!</v>
      </c>
      <c r="AY100" s="210" t="e">
        <f t="shared" si="66"/>
        <v>#VALUE!</v>
      </c>
      <c r="AZ100" s="212" t="e">
        <f t="shared" si="67"/>
        <v>#VALUE!</v>
      </c>
      <c r="BA100" s="210" t="e">
        <f t="shared" si="68"/>
        <v>#VALUE!</v>
      </c>
      <c r="BB100" s="178"/>
      <c r="BC100" s="145" t="str">
        <f>IFERROR(B95,"-")</f>
        <v>-</v>
      </c>
      <c r="BD100" s="149" t="str">
        <f>E95</f>
        <v>-</v>
      </c>
      <c r="BE100" s="147" t="str">
        <f>H95</f>
        <v>-</v>
      </c>
      <c r="BF100" s="133">
        <v>0.01</v>
      </c>
      <c r="BG100" s="148">
        <v>-0.01</v>
      </c>
      <c r="BH100" s="14"/>
      <c r="BI100" s="14"/>
      <c r="BJ100" s="14"/>
      <c r="BK100" s="14"/>
      <c r="BL100" s="14"/>
    </row>
    <row r="101" spans="1:64" x14ac:dyDescent="0.25">
      <c r="A101" s="278" t="s">
        <v>424</v>
      </c>
      <c r="B101" s="164" t="e">
        <f>VLOOKUP(INDEX('Load Test Points'!$A$28:$B$67, MATCH($G$16,'Load Test Points'!$A$28:$A$67,0),2),'Load Test Points'!$A$4:$K$24,10,FALSE)</f>
        <v>#N/A</v>
      </c>
      <c r="C101" s="209" t="str">
        <f t="shared" si="47"/>
        <v>-</v>
      </c>
      <c r="D101" s="89"/>
      <c r="E101" s="131" t="str">
        <f t="shared" si="37"/>
        <v>-</v>
      </c>
      <c r="F101" s="209" t="str">
        <f t="shared" si="48"/>
        <v>-</v>
      </c>
      <c r="G101" s="89"/>
      <c r="H101" s="131" t="str">
        <f t="shared" si="38"/>
        <v>-</v>
      </c>
      <c r="I101" s="209" t="str">
        <f t="shared" si="49"/>
        <v>-</v>
      </c>
      <c r="J101" s="89"/>
      <c r="K101" s="131" t="str">
        <f t="shared" si="39"/>
        <v>-</v>
      </c>
      <c r="L101" s="90" t="str">
        <f t="shared" si="50"/>
        <v>-</v>
      </c>
      <c r="M101" s="127" t="str">
        <f t="shared" si="51"/>
        <v>-</v>
      </c>
      <c r="N101" s="89" t="str">
        <f t="shared" si="52"/>
        <v>-</v>
      </c>
      <c r="O101" s="199" t="str">
        <f t="shared" si="53"/>
        <v>-</v>
      </c>
      <c r="P101" s="199">
        <f t="shared" si="40"/>
        <v>0</v>
      </c>
      <c r="Q101" s="342" t="s">
        <v>300</v>
      </c>
      <c r="R101" s="342"/>
      <c r="S101" s="189" t="str">
        <f>IFERROR(VLOOKUP($B101,'Load Test Points'!$A$70:$D$89,2,FALSE),"-")</f>
        <v>-</v>
      </c>
      <c r="T101" s="189" t="str">
        <f>IFERROR(VLOOKUP($B101,'Load Test Points'!$A$70:$D$89,3,FALSE),"-")</f>
        <v>-</v>
      </c>
      <c r="U101" s="189" t="str">
        <f>IFERROR(VLOOKUP($B101,'Load Test Points'!$A$70:$D$89,4,FALSE),"-")</f>
        <v>-</v>
      </c>
      <c r="W101" s="159" t="e">
        <f t="shared" si="41"/>
        <v>#VALUE!</v>
      </c>
      <c r="X101" s="187" t="str">
        <f t="shared" si="54"/>
        <v>-</v>
      </c>
      <c r="Y101" s="119"/>
      <c r="Z101" s="120" t="e">
        <f t="shared" si="42"/>
        <v>#VALUE!</v>
      </c>
      <c r="AA101" s="120" t="e">
        <f t="shared" si="55"/>
        <v>#VALUE!</v>
      </c>
      <c r="AB101" s="120" t="e">
        <f t="shared" si="56"/>
        <v>#VALUE!</v>
      </c>
      <c r="AC101" s="120" t="str">
        <f>IFERROR(VLOOKUP(S101,'Calibration Standards'!$G$13:$M$23,7,FALSE),"-")</f>
        <v>-</v>
      </c>
      <c r="AD101" s="120" t="str">
        <f>IFERROR(VLOOKUP(T101,'Calibration Standards'!$G$13:$M$23,7,FALSE),"-")</f>
        <v>-</v>
      </c>
      <c r="AE101" s="120" t="str">
        <f>IFERROR(VLOOKUP(U101,'Calibration Standards'!$G$13:$M$23,7,FALSE),"-")</f>
        <v>-</v>
      </c>
      <c r="AF101" s="120">
        <f>IFERROR(VLOOKUP(S101,'Calibration Standards'!$G$13:$O$23,9,FALSE)-VLOOKUP(S101,'Calibration Standards'!$G$13:$O$23,8,FALSE),0)</f>
        <v>0</v>
      </c>
      <c r="AG101" s="120">
        <f>IFERROR(VLOOKUP(T101,'Calibration Standards'!$G$13:$O$23,9,FALSE)-VLOOKUP(T101,'Calibration Standards'!$G$13:$O$23,8,FALSE),0)</f>
        <v>0</v>
      </c>
      <c r="AH101" s="120">
        <f>IFERROR(VLOOKUP(U101,'Calibration Standards'!$G$13:$O$23,9,FALSE)-VLOOKUP(U101,'Calibration Standards'!$G$13:$O$23,8,FALSE),0)</f>
        <v>0</v>
      </c>
      <c r="AI101" s="120">
        <f t="shared" si="57"/>
        <v>0</v>
      </c>
      <c r="AJ101" s="120">
        <f t="shared" si="58"/>
        <v>0</v>
      </c>
      <c r="AK101" s="120">
        <f>IFERROR(VLOOKUP(S101,'Calibration Standards'!$G$13:$Q$23,11,FALSE),0)</f>
        <v>0</v>
      </c>
      <c r="AL101" s="120">
        <f>IFERROR(VLOOKUP(T101,'Calibration Standards'!$G$13:$Q$23,11,FALSE),0)</f>
        <v>0</v>
      </c>
      <c r="AM101" s="120">
        <f>IFERROR(VLOOKUP(U101,'Calibration Standards'!$G$13:$Q$23,11,FALSE),0)</f>
        <v>0</v>
      </c>
      <c r="AN101" s="120">
        <f t="shared" si="59"/>
        <v>0</v>
      </c>
      <c r="AO101" s="120">
        <f t="shared" si="60"/>
        <v>0</v>
      </c>
      <c r="AP101" s="120">
        <f t="shared" si="61"/>
        <v>0</v>
      </c>
      <c r="AQ101" s="120">
        <f t="shared" si="62"/>
        <v>0</v>
      </c>
      <c r="AR101" s="120" t="e">
        <f t="shared" si="43"/>
        <v>#VALUE!</v>
      </c>
      <c r="AS101" s="120" t="e">
        <f t="shared" si="44"/>
        <v>#VALUE!</v>
      </c>
      <c r="AT101" s="126" t="e">
        <f t="shared" si="45"/>
        <v>#VALUE!</v>
      </c>
      <c r="AU101" s="126" t="e">
        <f t="shared" si="63"/>
        <v>#VALUE!</v>
      </c>
      <c r="AV101" s="121" t="e">
        <f t="shared" si="46"/>
        <v>#VALUE!</v>
      </c>
      <c r="AW101" s="122" t="e">
        <f t="shared" si="64"/>
        <v>#VALUE!</v>
      </c>
      <c r="AX101" s="210" t="e">
        <f t="shared" si="65"/>
        <v>#VALUE!</v>
      </c>
      <c r="AY101" s="210" t="e">
        <f t="shared" si="66"/>
        <v>#VALUE!</v>
      </c>
      <c r="AZ101" s="212" t="e">
        <f t="shared" si="67"/>
        <v>#VALUE!</v>
      </c>
      <c r="BA101" s="210" t="e">
        <f t="shared" si="68"/>
        <v>#VALUE!</v>
      </c>
      <c r="BB101" s="178"/>
      <c r="BC101" s="145" t="str">
        <f>IFERROR(B94,"-")</f>
        <v>-</v>
      </c>
      <c r="BD101" s="149" t="str">
        <f>E94</f>
        <v>-</v>
      </c>
      <c r="BE101" s="147" t="str">
        <f>H94</f>
        <v>-</v>
      </c>
      <c r="BF101" s="133">
        <v>0.01</v>
      </c>
      <c r="BG101" s="148">
        <v>-0.01</v>
      </c>
      <c r="BH101" s="14"/>
      <c r="BI101" s="14"/>
      <c r="BJ101" s="14"/>
      <c r="BK101" s="14"/>
      <c r="BL101" s="14"/>
    </row>
    <row r="102" spans="1:64" ht="15.75" thickBot="1" x14ac:dyDescent="0.3">
      <c r="A102" s="278" t="s">
        <v>424</v>
      </c>
      <c r="B102" s="164" t="e">
        <f>VLOOKUP(INDEX('Load Test Points'!$A$28:$B$67, MATCH($G$16,'Load Test Points'!$A$28:$A$67,0),2),'Load Test Points'!$A$4:$K$24,11,FALSE)</f>
        <v>#N/A</v>
      </c>
      <c r="C102" s="209" t="str">
        <f>IFERROR(IF(SUM($AC102:$AE102)=0,"-",SUM($AC102:$AE102)),"-")</f>
        <v>-</v>
      </c>
      <c r="D102" s="89"/>
      <c r="E102" s="131" t="str">
        <f>IFERROR((C102-D102)/C102,"-")</f>
        <v>-</v>
      </c>
      <c r="F102" s="209" t="str">
        <f>IFERROR(IF(SUM($AC102:$AE102)=0,"-",SUM($AC102:$AE102)),"-")</f>
        <v>-</v>
      </c>
      <c r="G102" s="89"/>
      <c r="H102" s="131" t="str">
        <f>IFERROR((F102-G102)/F102,"-")</f>
        <v>-</v>
      </c>
      <c r="I102" s="209" t="str">
        <f>IFERROR(IF(SUM($AC102:$AE102)=0,"-",SUM($AC102:$AE102)),"-")</f>
        <v>-</v>
      </c>
      <c r="J102" s="89"/>
      <c r="K102" s="131" t="str">
        <f>IFERROR((I102-J102)/I102,"-")</f>
        <v>-</v>
      </c>
      <c r="L102" s="90" t="str">
        <f t="shared" si="50"/>
        <v>-</v>
      </c>
      <c r="M102" s="127" t="str">
        <f t="shared" si="51"/>
        <v>-</v>
      </c>
      <c r="N102" s="89" t="str">
        <f t="shared" si="52"/>
        <v>-</v>
      </c>
      <c r="O102" s="199" t="str">
        <f t="shared" si="53"/>
        <v>-</v>
      </c>
      <c r="P102" s="199">
        <f t="shared" si="40"/>
        <v>0</v>
      </c>
      <c r="Q102" s="342" t="s">
        <v>301</v>
      </c>
      <c r="R102" s="342"/>
      <c r="S102" s="189" t="str">
        <f>IFERROR(VLOOKUP($B102,'Load Test Points'!$A$70:$D$89,2,FALSE),"-")</f>
        <v>-</v>
      </c>
      <c r="T102" s="189" t="str">
        <f>IFERROR(VLOOKUP($B102,'Load Test Points'!$A$70:$D$89,3,FALSE),"-")</f>
        <v>-</v>
      </c>
      <c r="U102" s="189" t="str">
        <f>IFERROR(VLOOKUP($B102,'Load Test Points'!$A$70:$D$89,4,FALSE),"-")</f>
        <v>-</v>
      </c>
      <c r="W102" s="159" t="e">
        <f t="shared" si="41"/>
        <v>#VALUE!</v>
      </c>
      <c r="X102" s="187" t="str">
        <f t="shared" ref="X102" si="69">IFERROR(W102/P102,"-")</f>
        <v>-</v>
      </c>
      <c r="Y102" s="94"/>
      <c r="Z102" s="123" t="e">
        <f t="shared" si="42"/>
        <v>#VALUE!</v>
      </c>
      <c r="AA102" s="120" t="e">
        <f t="shared" si="55"/>
        <v>#VALUE!</v>
      </c>
      <c r="AB102" s="120" t="e">
        <f t="shared" si="56"/>
        <v>#VALUE!</v>
      </c>
      <c r="AC102" s="120" t="str">
        <f>IFERROR(VLOOKUP(S102,'Calibration Standards'!$G$13:$M$23,7,FALSE),"-")</f>
        <v>-</v>
      </c>
      <c r="AD102" s="120" t="str">
        <f>IFERROR(VLOOKUP(T102,'Calibration Standards'!$G$13:$M$23,7,FALSE),"-")</f>
        <v>-</v>
      </c>
      <c r="AE102" s="120" t="str">
        <f>IFERROR(VLOOKUP(U102,'Calibration Standards'!$G$13:$M$23,7,FALSE),"-")</f>
        <v>-</v>
      </c>
      <c r="AF102" s="120">
        <f>IFERROR(VLOOKUP(S102,'Calibration Standards'!$G$13:$O$23,9,FALSE)-VLOOKUP(S102,'Calibration Standards'!$G$13:$O$23,8,FALSE),0)</f>
        <v>0</v>
      </c>
      <c r="AG102" s="120">
        <f>IFERROR(VLOOKUP(T102,'Calibration Standards'!$G$13:$O$23,9,FALSE)-VLOOKUP(T102,'Calibration Standards'!$G$13:$O$23,8,FALSE),0)</f>
        <v>0</v>
      </c>
      <c r="AH102" s="120">
        <f>IFERROR(VLOOKUP(U102,'Calibration Standards'!$G$13:$O$23,9,FALSE)-VLOOKUP(U102,'Calibration Standards'!$G$13:$O$23,8,FALSE),0)</f>
        <v>0</v>
      </c>
      <c r="AI102" s="120">
        <f t="shared" si="57"/>
        <v>0</v>
      </c>
      <c r="AJ102" s="120">
        <f t="shared" si="58"/>
        <v>0</v>
      </c>
      <c r="AK102" s="120">
        <f>IFERROR(VLOOKUP(S102,'Calibration Standards'!$G$13:$Q$23,11,FALSE),0)</f>
        <v>0</v>
      </c>
      <c r="AL102" s="120">
        <f>IFERROR(VLOOKUP(T102,'Calibration Standards'!$G$13:$Q$23,11,FALSE),0)</f>
        <v>0</v>
      </c>
      <c r="AM102" s="120">
        <f>IFERROR(VLOOKUP(U102,'Calibration Standards'!$G$13:$Q$23,11,FALSE),0)</f>
        <v>0</v>
      </c>
      <c r="AN102" s="120">
        <f t="shared" si="59"/>
        <v>0</v>
      </c>
      <c r="AO102" s="120">
        <f t="shared" si="60"/>
        <v>0</v>
      </c>
      <c r="AP102" s="120">
        <f t="shared" si="61"/>
        <v>0</v>
      </c>
      <c r="AQ102" s="120">
        <f t="shared" si="62"/>
        <v>0</v>
      </c>
      <c r="AR102" s="120" t="e">
        <f t="shared" si="43"/>
        <v>#VALUE!</v>
      </c>
      <c r="AS102" s="120" t="e">
        <f t="shared" si="44"/>
        <v>#VALUE!</v>
      </c>
      <c r="AT102" s="126" t="e">
        <f t="shared" si="45"/>
        <v>#VALUE!</v>
      </c>
      <c r="AU102" s="126" t="e">
        <f t="shared" si="63"/>
        <v>#VALUE!</v>
      </c>
      <c r="AV102" s="121" t="e">
        <f t="shared" si="46"/>
        <v>#VALUE!</v>
      </c>
      <c r="AW102" s="122" t="e">
        <f t="shared" si="64"/>
        <v>#VALUE!</v>
      </c>
      <c r="AX102" s="210" t="e">
        <f t="shared" si="65"/>
        <v>#VALUE!</v>
      </c>
      <c r="AY102" s="210" t="e">
        <f t="shared" si="66"/>
        <v>#VALUE!</v>
      </c>
      <c r="AZ102" s="211" t="e">
        <f t="shared" si="67"/>
        <v>#VALUE!</v>
      </c>
      <c r="BA102" s="210" t="e">
        <f t="shared" si="68"/>
        <v>#VALUE!</v>
      </c>
      <c r="BB102" s="178"/>
      <c r="BC102" s="150" t="str">
        <f>IFERROR(B93,"-")</f>
        <v>-</v>
      </c>
      <c r="BD102" s="151" t="str">
        <f>E93</f>
        <v>-</v>
      </c>
      <c r="BE102" s="152" t="str">
        <f>H93</f>
        <v>-</v>
      </c>
      <c r="BF102" s="153">
        <v>0.01</v>
      </c>
      <c r="BG102" s="154">
        <v>-0.01</v>
      </c>
      <c r="BH102" s="14"/>
      <c r="BI102" s="14"/>
      <c r="BJ102" s="14"/>
      <c r="BK102" s="14"/>
      <c r="BL102" s="14"/>
    </row>
    <row r="103" spans="1:64" x14ac:dyDescent="0.25">
      <c r="B103" s="96"/>
      <c r="C103" s="96"/>
      <c r="D103" s="96"/>
      <c r="E103" s="96"/>
      <c r="F103" s="96"/>
      <c r="G103" s="96"/>
      <c r="H103" s="96"/>
      <c r="I103" s="96"/>
      <c r="J103" s="96"/>
      <c r="K103" s="96"/>
      <c r="L103" s="96"/>
      <c r="M103" s="96"/>
      <c r="N103" s="96"/>
      <c r="S103" s="200"/>
      <c r="T103" s="200"/>
      <c r="U103" s="200"/>
    </row>
    <row r="120" spans="1:59" x14ac:dyDescent="0.25">
      <c r="B120" s="134" t="s">
        <v>279</v>
      </c>
      <c r="Y120" s="326" t="s">
        <v>349</v>
      </c>
      <c r="Z120" s="327"/>
      <c r="AA120" s="327"/>
      <c r="AB120" s="327"/>
      <c r="AC120" s="327"/>
      <c r="AD120" s="327"/>
      <c r="AE120" s="327"/>
      <c r="AF120" s="327"/>
      <c r="AG120" s="327"/>
      <c r="AH120" s="327"/>
      <c r="AI120" s="327"/>
      <c r="AJ120" s="327"/>
      <c r="AK120" s="327"/>
      <c r="AL120" s="327"/>
      <c r="AM120" s="327"/>
      <c r="AN120" s="327"/>
      <c r="AO120" s="327"/>
      <c r="AP120" s="327"/>
      <c r="AQ120" s="327"/>
      <c r="AR120" s="327"/>
      <c r="AS120" s="327"/>
      <c r="AT120" s="327"/>
      <c r="AU120" s="327"/>
      <c r="AV120" s="327"/>
      <c r="AW120" s="327"/>
    </row>
    <row r="121" spans="1:59" ht="15" customHeight="1" x14ac:dyDescent="0.25">
      <c r="B121" s="134" t="s">
        <v>280</v>
      </c>
      <c r="Y121" s="328" t="s">
        <v>233</v>
      </c>
      <c r="Z121" s="328"/>
      <c r="AA121" s="328"/>
      <c r="AB121" s="328"/>
      <c r="AC121" s="328"/>
      <c r="AD121" s="328"/>
      <c r="AE121" s="328"/>
      <c r="AF121" s="328"/>
      <c r="AG121" s="328"/>
      <c r="AH121" s="328"/>
      <c r="AI121" s="328"/>
      <c r="AJ121" s="328"/>
      <c r="AK121" s="328"/>
      <c r="AL121" s="328"/>
      <c r="AM121" s="328"/>
      <c r="AN121" s="328"/>
      <c r="AO121" s="328"/>
      <c r="AP121" s="328"/>
      <c r="AQ121" s="328"/>
      <c r="AR121" s="328"/>
      <c r="AS121" s="328"/>
      <c r="AT121" s="324" t="s">
        <v>234</v>
      </c>
      <c r="AU121" s="325" t="s">
        <v>252</v>
      </c>
      <c r="AV121" s="329" t="s">
        <v>54</v>
      </c>
      <c r="AW121" s="325" t="s">
        <v>55</v>
      </c>
      <c r="AX121" s="324" t="s">
        <v>234</v>
      </c>
      <c r="AY121" s="325" t="s">
        <v>252</v>
      </c>
      <c r="AZ121" s="329" t="s">
        <v>54</v>
      </c>
      <c r="BA121" s="325" t="s">
        <v>367</v>
      </c>
    </row>
    <row r="122" spans="1:59" ht="15" customHeight="1" x14ac:dyDescent="0.25">
      <c r="B122" s="134" t="s">
        <v>281</v>
      </c>
      <c r="Y122" s="330"/>
      <c r="Z122" s="324" t="s">
        <v>235</v>
      </c>
      <c r="AA122" s="324" t="s">
        <v>236</v>
      </c>
      <c r="AB122" s="325" t="s">
        <v>237</v>
      </c>
      <c r="AC122" s="320" t="s">
        <v>360</v>
      </c>
      <c r="AD122" s="190"/>
      <c r="AE122" s="190"/>
      <c r="AF122" s="320" t="s">
        <v>361</v>
      </c>
      <c r="AG122" s="190"/>
      <c r="AH122" s="190"/>
      <c r="AI122" s="190"/>
      <c r="AJ122" s="205"/>
      <c r="AK122" s="320" t="s">
        <v>362</v>
      </c>
      <c r="AL122" s="190"/>
      <c r="AM122" s="190"/>
      <c r="AN122" s="190"/>
      <c r="AO122" s="190"/>
      <c r="AP122" s="340" t="s">
        <v>238</v>
      </c>
      <c r="AQ122" s="340" t="s">
        <v>239</v>
      </c>
      <c r="AR122" s="324" t="s">
        <v>240</v>
      </c>
      <c r="AS122" s="324" t="s">
        <v>241</v>
      </c>
      <c r="AT122" s="324"/>
      <c r="AU122" s="325"/>
      <c r="AV122" s="329"/>
      <c r="AW122" s="325"/>
      <c r="AX122" s="324"/>
      <c r="AY122" s="325"/>
      <c r="AZ122" s="329"/>
      <c r="BA122" s="325"/>
    </row>
    <row r="123" spans="1:59" s="14" customFormat="1" ht="15" customHeight="1" x14ac:dyDescent="0.25">
      <c r="A123" s="276"/>
      <c r="B123" s="390"/>
      <c r="C123" s="390"/>
      <c r="D123" s="140"/>
      <c r="E123" s="137"/>
      <c r="F123" s="140"/>
      <c r="G123" s="137"/>
      <c r="H123" s="140"/>
      <c r="I123" s="137"/>
      <c r="J123" s="140"/>
      <c r="K123" s="137"/>
      <c r="L123" s="166"/>
      <c r="M123" s="140"/>
      <c r="W123" s="36"/>
      <c r="X123" s="36"/>
      <c r="Y123" s="330"/>
      <c r="Z123" s="324"/>
      <c r="AA123" s="324"/>
      <c r="AB123" s="325"/>
      <c r="AC123" s="321"/>
      <c r="AD123" s="190"/>
      <c r="AE123" s="190"/>
      <c r="AF123" s="321"/>
      <c r="AG123" s="190"/>
      <c r="AH123" s="190"/>
      <c r="AI123" s="190"/>
      <c r="AJ123" s="206"/>
      <c r="AK123" s="321"/>
      <c r="AL123" s="190"/>
      <c r="AM123" s="190"/>
      <c r="AN123" s="190"/>
      <c r="AO123" s="190"/>
      <c r="AP123" s="324"/>
      <c r="AQ123" s="324"/>
      <c r="AR123" s="324"/>
      <c r="AS123" s="324"/>
      <c r="AT123" s="324"/>
      <c r="AU123" s="325"/>
      <c r="AV123" s="329"/>
      <c r="AW123" s="325"/>
      <c r="AX123" s="324"/>
      <c r="AY123" s="325"/>
      <c r="AZ123" s="329"/>
      <c r="BA123" s="325"/>
      <c r="BB123" s="96"/>
    </row>
    <row r="124" spans="1:59" s="14" customFormat="1" ht="15" customHeight="1" x14ac:dyDescent="0.25">
      <c r="A124" s="276"/>
      <c r="B124" s="139"/>
      <c r="C124" s="139"/>
      <c r="D124" s="140"/>
      <c r="E124" s="137"/>
      <c r="F124" s="140"/>
      <c r="G124" s="137"/>
      <c r="H124" s="166"/>
      <c r="I124" s="140"/>
      <c r="J124" s="166"/>
      <c r="K124" s="16"/>
      <c r="L124" s="16"/>
      <c r="M124" s="16"/>
      <c r="O124" s="347" t="s">
        <v>427</v>
      </c>
      <c r="P124" s="348"/>
      <c r="Q124" s="348"/>
      <c r="R124" s="348"/>
      <c r="S124" s="348"/>
      <c r="T124" s="348"/>
      <c r="U124" s="348"/>
      <c r="V124" s="349"/>
      <c r="W124" s="160"/>
      <c r="X124" s="160"/>
      <c r="Y124" s="330"/>
      <c r="Z124" s="324"/>
      <c r="AA124" s="324"/>
      <c r="AB124" s="325"/>
      <c r="AC124" s="322"/>
      <c r="AD124" s="196"/>
      <c r="AE124" s="196"/>
      <c r="AF124" s="322"/>
      <c r="AG124" s="196"/>
      <c r="AH124" s="196"/>
      <c r="AI124" s="196"/>
      <c r="AJ124" s="202"/>
      <c r="AK124" s="322"/>
      <c r="AL124" s="196"/>
      <c r="AM124" s="196"/>
      <c r="AN124" s="196"/>
      <c r="AO124" s="190"/>
      <c r="AP124" s="324"/>
      <c r="AQ124" s="324"/>
      <c r="AR124" s="324"/>
      <c r="AS124" s="324"/>
      <c r="AT124" s="324"/>
      <c r="AU124" s="325"/>
      <c r="AV124" s="329"/>
      <c r="AW124" s="325"/>
      <c r="AX124" s="324"/>
      <c r="AY124" s="325"/>
      <c r="AZ124" s="329"/>
      <c r="BA124" s="325"/>
      <c r="BB124" s="96"/>
    </row>
    <row r="125" spans="1:59" s="14" customFormat="1" ht="14.25" customHeight="1" x14ac:dyDescent="0.25">
      <c r="A125" s="276"/>
      <c r="O125" s="350"/>
      <c r="P125" s="351"/>
      <c r="Q125" s="351"/>
      <c r="R125" s="351"/>
      <c r="S125" s="351"/>
      <c r="T125" s="351"/>
      <c r="U125" s="351"/>
      <c r="V125" s="352"/>
      <c r="W125" s="161"/>
      <c r="X125" s="161"/>
      <c r="Y125" s="113" t="s">
        <v>345</v>
      </c>
      <c r="Z125" s="194" t="s">
        <v>346</v>
      </c>
      <c r="AA125" s="195" t="s">
        <v>347</v>
      </c>
      <c r="AB125" s="195" t="s">
        <v>347</v>
      </c>
      <c r="AC125" s="196" t="s">
        <v>335</v>
      </c>
      <c r="AD125" s="196" t="s">
        <v>336</v>
      </c>
      <c r="AE125" s="196" t="s">
        <v>337</v>
      </c>
      <c r="AF125" s="196" t="s">
        <v>335</v>
      </c>
      <c r="AG125" s="196" t="s">
        <v>336</v>
      </c>
      <c r="AH125" s="196" t="s">
        <v>337</v>
      </c>
      <c r="AI125" s="196" t="s">
        <v>363</v>
      </c>
      <c r="AJ125" s="196" t="s">
        <v>365</v>
      </c>
      <c r="AK125" s="196" t="s">
        <v>335</v>
      </c>
      <c r="AL125" s="196" t="s">
        <v>336</v>
      </c>
      <c r="AM125" s="196" t="s">
        <v>337</v>
      </c>
      <c r="AN125" s="196" t="s">
        <v>364</v>
      </c>
      <c r="AO125" s="196" t="s">
        <v>366</v>
      </c>
      <c r="AP125" s="194" t="s">
        <v>346</v>
      </c>
      <c r="AQ125" s="194" t="s">
        <v>346</v>
      </c>
      <c r="AR125" s="194" t="s">
        <v>346</v>
      </c>
      <c r="AS125" s="194" t="s">
        <v>346</v>
      </c>
      <c r="AT125" s="197" t="s">
        <v>347</v>
      </c>
      <c r="AU125" s="197" t="s">
        <v>347</v>
      </c>
      <c r="AV125" s="197" t="s">
        <v>347</v>
      </c>
      <c r="AW125" s="197" t="s">
        <v>347</v>
      </c>
      <c r="AX125" s="196" t="s">
        <v>348</v>
      </c>
      <c r="AY125" s="196" t="s">
        <v>348</v>
      </c>
      <c r="AZ125" s="196" t="s">
        <v>348</v>
      </c>
      <c r="BA125" s="196" t="s">
        <v>348</v>
      </c>
      <c r="BB125" s="96"/>
    </row>
    <row r="126" spans="1:59" s="14" customFormat="1" ht="15" customHeight="1" x14ac:dyDescent="0.25">
      <c r="A126" s="276"/>
      <c r="B126" s="357" t="s">
        <v>356</v>
      </c>
      <c r="C126" s="357"/>
      <c r="D126" s="357"/>
      <c r="E126" s="357"/>
      <c r="F126" s="357"/>
      <c r="G126" s="357"/>
      <c r="H126" s="357"/>
      <c r="I126" s="357"/>
      <c r="J126" s="357"/>
      <c r="K126" s="357"/>
      <c r="L126" s="357"/>
      <c r="M126" s="357"/>
      <c r="N126" s="357"/>
      <c r="O126" s="353"/>
      <c r="P126" s="354"/>
      <c r="Q126" s="354"/>
      <c r="R126" s="354"/>
      <c r="S126" s="354"/>
      <c r="T126" s="354"/>
      <c r="U126" s="354"/>
      <c r="V126" s="355"/>
      <c r="W126" s="36"/>
      <c r="X126" s="36"/>
      <c r="Y126" s="113" t="s">
        <v>242</v>
      </c>
      <c r="Z126" s="92" t="s">
        <v>245</v>
      </c>
      <c r="AA126" s="92" t="s">
        <v>246</v>
      </c>
      <c r="AB126" s="92" t="s">
        <v>246</v>
      </c>
      <c r="AC126" s="203"/>
      <c r="AD126" s="203"/>
      <c r="AE126" s="203"/>
      <c r="AF126" s="203"/>
      <c r="AG126" s="203"/>
      <c r="AH126" s="203"/>
      <c r="AI126" s="203"/>
      <c r="AJ126" s="207" t="s">
        <v>246</v>
      </c>
      <c r="AK126" s="203"/>
      <c r="AL126" s="203"/>
      <c r="AM126" s="203"/>
      <c r="AN126" s="203"/>
      <c r="AO126" s="92" t="s">
        <v>246</v>
      </c>
      <c r="AP126" s="92" t="s">
        <v>246</v>
      </c>
      <c r="AQ126" s="92" t="s">
        <v>246</v>
      </c>
      <c r="AR126" s="92" t="s">
        <v>246</v>
      </c>
      <c r="AS126" s="92" t="s">
        <v>246</v>
      </c>
      <c r="AT126" s="93"/>
      <c r="AU126" s="114"/>
      <c r="AV126" s="114"/>
      <c r="AW126" s="114"/>
      <c r="AX126" s="114"/>
      <c r="AY126" s="114"/>
      <c r="AZ126" s="114"/>
      <c r="BA126" s="114"/>
      <c r="BB126" s="176"/>
    </row>
    <row r="127" spans="1:59" s="14" customFormat="1" ht="15.75" thickBot="1" x14ac:dyDescent="0.3">
      <c r="A127" s="276"/>
      <c r="B127" s="15"/>
      <c r="O127" s="346" t="str">
        <f t="array" ref="O127">IF(AND(H65&lt;=0.01,I65&lt;=0.01,H66&lt;=0.01,I66&lt;=0.01),"NO CORRECTIONS NEEDED","REDO CALIBRATION")</f>
        <v>NO CORRECTIONS NEEDED</v>
      </c>
      <c r="P127" s="346"/>
      <c r="Q127" s="346"/>
      <c r="R127" s="346"/>
      <c r="S127" s="36"/>
      <c r="T127" s="36"/>
      <c r="U127" s="36"/>
      <c r="V127" s="36"/>
      <c r="W127" s="36"/>
      <c r="X127" s="36"/>
      <c r="Y127" s="113" t="s">
        <v>243</v>
      </c>
      <c r="Z127" s="92" t="s">
        <v>247</v>
      </c>
      <c r="AA127" s="92" t="s">
        <v>248</v>
      </c>
      <c r="AB127" s="92" t="s">
        <v>247</v>
      </c>
      <c r="AC127" s="203"/>
      <c r="AD127" s="203"/>
      <c r="AE127" s="203"/>
      <c r="AF127" s="203"/>
      <c r="AG127" s="203"/>
      <c r="AH127" s="203"/>
      <c r="AI127" s="203"/>
      <c r="AJ127" s="207" t="s">
        <v>248</v>
      </c>
      <c r="AK127" s="203"/>
      <c r="AL127" s="203"/>
      <c r="AM127" s="203"/>
      <c r="AN127" s="203"/>
      <c r="AO127" s="92" t="s">
        <v>247</v>
      </c>
      <c r="AP127" s="92" t="s">
        <v>248</v>
      </c>
      <c r="AQ127" s="92" t="s">
        <v>248</v>
      </c>
      <c r="AR127" s="92" t="s">
        <v>247</v>
      </c>
      <c r="AS127" s="92" t="s">
        <v>247</v>
      </c>
      <c r="AT127" s="93"/>
      <c r="AU127" s="114"/>
      <c r="AV127" s="114"/>
      <c r="AW127" s="114"/>
      <c r="AX127" s="114"/>
      <c r="AY127" s="114"/>
      <c r="AZ127" s="114"/>
      <c r="BA127" s="114"/>
      <c r="BB127" s="176"/>
    </row>
    <row r="128" spans="1:59" s="14" customFormat="1" ht="15" customHeight="1" x14ac:dyDescent="0.25">
      <c r="A128" s="276"/>
      <c r="B128" s="358" t="s">
        <v>49</v>
      </c>
      <c r="C128" s="309" t="s">
        <v>350</v>
      </c>
      <c r="D128" s="360" t="s">
        <v>340</v>
      </c>
      <c r="E128" s="360" t="s">
        <v>50</v>
      </c>
      <c r="F128" s="309" t="s">
        <v>341</v>
      </c>
      <c r="G128" s="360" t="s">
        <v>342</v>
      </c>
      <c r="H128" s="360" t="s">
        <v>51</v>
      </c>
      <c r="I128" s="309" t="s">
        <v>351</v>
      </c>
      <c r="J128" s="360" t="s">
        <v>352</v>
      </c>
      <c r="K128" s="360" t="s">
        <v>52</v>
      </c>
      <c r="L128" s="309" t="s">
        <v>302</v>
      </c>
      <c r="M128" s="360" t="s">
        <v>249</v>
      </c>
      <c r="N128" s="360" t="s">
        <v>353</v>
      </c>
      <c r="O128" s="312" t="s">
        <v>289</v>
      </c>
      <c r="P128" s="312"/>
      <c r="Q128" s="312"/>
      <c r="R128" s="312"/>
      <c r="S128" s="356" t="s">
        <v>357</v>
      </c>
      <c r="T128" s="356"/>
      <c r="U128" s="356"/>
      <c r="V128" s="36"/>
      <c r="W128" s="36"/>
      <c r="X128" s="313" t="s">
        <v>53</v>
      </c>
      <c r="Y128" s="113" t="s">
        <v>244</v>
      </c>
      <c r="Z128" s="92">
        <v>1</v>
      </c>
      <c r="AA128" s="92">
        <v>1.73</v>
      </c>
      <c r="AB128" s="92">
        <v>2</v>
      </c>
      <c r="AC128" s="203"/>
      <c r="AD128" s="203"/>
      <c r="AE128" s="203"/>
      <c r="AF128" s="203"/>
      <c r="AG128" s="203"/>
      <c r="AH128" s="203"/>
      <c r="AI128" s="203"/>
      <c r="AJ128" s="207">
        <v>1.73</v>
      </c>
      <c r="AK128" s="203"/>
      <c r="AL128" s="203"/>
      <c r="AM128" s="203"/>
      <c r="AN128" s="203"/>
      <c r="AO128" s="92">
        <v>2</v>
      </c>
      <c r="AP128" s="92">
        <f>2*1.73</f>
        <v>3.46</v>
      </c>
      <c r="AQ128" s="92">
        <f>2*1.73</f>
        <v>3.46</v>
      </c>
      <c r="AR128" s="92">
        <v>2</v>
      </c>
      <c r="AS128" s="92">
        <v>2</v>
      </c>
      <c r="AT128" s="93"/>
      <c r="AU128" s="114"/>
      <c r="AV128" s="114"/>
      <c r="AW128" s="114"/>
      <c r="AX128" s="114"/>
      <c r="AY128" s="114"/>
      <c r="AZ128" s="114"/>
      <c r="BA128" s="114"/>
      <c r="BB128" s="176"/>
      <c r="BC128" s="386" t="s">
        <v>287</v>
      </c>
      <c r="BD128" s="387"/>
      <c r="BE128" s="387"/>
      <c r="BF128" s="387"/>
      <c r="BG128" s="388"/>
    </row>
    <row r="129" spans="1:59" s="14" customFormat="1" ht="22.5" customHeight="1" x14ac:dyDescent="0.25">
      <c r="A129" s="276"/>
      <c r="B129" s="359"/>
      <c r="C129" s="310"/>
      <c r="D129" s="361"/>
      <c r="E129" s="361"/>
      <c r="F129" s="310"/>
      <c r="G129" s="361"/>
      <c r="H129" s="361"/>
      <c r="I129" s="310"/>
      <c r="J129" s="361"/>
      <c r="K129" s="361"/>
      <c r="L129" s="310"/>
      <c r="M129" s="361"/>
      <c r="N129" s="361"/>
      <c r="O129" s="167" t="s">
        <v>230</v>
      </c>
      <c r="P129" s="167" t="s">
        <v>231</v>
      </c>
      <c r="Q129" s="389" t="s">
        <v>291</v>
      </c>
      <c r="R129" s="389"/>
      <c r="S129" s="201" t="s">
        <v>335</v>
      </c>
      <c r="T129" s="201" t="s">
        <v>336</v>
      </c>
      <c r="U129" s="201" t="s">
        <v>337</v>
      </c>
      <c r="V129" s="36"/>
      <c r="W129" s="158" t="s">
        <v>372</v>
      </c>
      <c r="X129" s="313"/>
      <c r="Y129" s="162" t="s">
        <v>277</v>
      </c>
      <c r="Z129" s="116"/>
      <c r="AA129" s="117" t="e">
        <f>VLOOKUP($E$36,'Calibration Standards'!$B$8:$K$11,9,FALSE)</f>
        <v>#N/A</v>
      </c>
      <c r="AB129" s="117" t="e">
        <f>VLOOKUP($E$36,'Calibration Standards'!$B$8:$K$11,10,FALSE)</f>
        <v>#N/A</v>
      </c>
      <c r="AC129" s="204"/>
      <c r="AD129" s="204"/>
      <c r="AE129" s="204"/>
      <c r="AF129" s="204"/>
      <c r="AG129" s="204"/>
      <c r="AH129" s="204"/>
      <c r="AI129" s="204"/>
      <c r="AJ129" s="204"/>
      <c r="AK129" s="204"/>
      <c r="AL129" s="204"/>
      <c r="AM129" s="204"/>
      <c r="AN129" s="204"/>
      <c r="AO129" s="117"/>
      <c r="AP129" s="118">
        <f>$G$18</f>
        <v>0</v>
      </c>
      <c r="AQ129" s="118">
        <f>$G$18</f>
        <v>0</v>
      </c>
      <c r="AR129" s="128">
        <f>0.0008%*ABS(L58-L60)</f>
        <v>0</v>
      </c>
      <c r="AS129" s="132">
        <v>1E-4</v>
      </c>
      <c r="AT129" s="116"/>
      <c r="AU129" s="116"/>
      <c r="AV129" s="116"/>
      <c r="AW129" s="116"/>
      <c r="AX129" s="116"/>
      <c r="AY129" s="116"/>
      <c r="AZ129" s="116"/>
      <c r="BA129" s="116"/>
      <c r="BB129" s="177"/>
      <c r="BC129" s="145" t="s">
        <v>49</v>
      </c>
      <c r="BD129" s="144" t="s">
        <v>50</v>
      </c>
      <c r="BE129" s="144" t="s">
        <v>51</v>
      </c>
      <c r="BF129" s="16" t="s">
        <v>288</v>
      </c>
      <c r="BG129" s="146" t="s">
        <v>288</v>
      </c>
    </row>
    <row r="130" spans="1:59" s="14" customFormat="1" x14ac:dyDescent="0.25">
      <c r="A130" s="278" t="s">
        <v>424</v>
      </c>
      <c r="B130" s="88" t="e">
        <f>VLOOKUP(INDEX('Load Test Points'!$A$28:$B$67, MATCH($G$16,'Load Test Points'!$A$28:$A$67,0),2),'Load Test Points'!$A$4:$K$24,2,FALSE)</f>
        <v>#N/A</v>
      </c>
      <c r="C130" s="89" t="str">
        <f>IFERROR(IF(SUM($AC130:$AE130)=0,"-",SUM($AC130:$AE130)),"-")</f>
        <v>-</v>
      </c>
      <c r="D130" s="89"/>
      <c r="E130" s="131" t="str">
        <f t="shared" ref="E130:E138" si="70">IFERROR((C130-D130)/C130,"-")</f>
        <v>-</v>
      </c>
      <c r="F130" s="208" t="str">
        <f>IFERROR(IF(SUM($AC130:$AE130)=0,"-",SUM($AC130:$AE130)),"-")</f>
        <v>-</v>
      </c>
      <c r="G130" s="89"/>
      <c r="H130" s="131" t="str">
        <f t="shared" ref="H130:H138" si="71">IFERROR((F130-G130)/F130,"-")</f>
        <v>-</v>
      </c>
      <c r="I130" s="208" t="str">
        <f>IFERROR(IF(SUM($AC130:$AE130)=0,"-",SUM($AC130:$AE130)),"-")</f>
        <v>-</v>
      </c>
      <c r="J130" s="89"/>
      <c r="K130" s="131" t="str">
        <f t="shared" ref="K130:K138" si="72">IFERROR((I130-J130)/I130,"-")</f>
        <v>-</v>
      </c>
      <c r="L130" s="90" t="str">
        <f>IFERROR(ABS(E130-H130),"-")</f>
        <v>-</v>
      </c>
      <c r="M130" s="127" t="str">
        <f>IFERROR(IF($D$28="Starrett Deadweight",AZ130,AV130),"-")</f>
        <v>-</v>
      </c>
      <c r="N130" s="89" t="str">
        <f>IFERROR(IF($D$28="Starrett Deadweight",BA130,AW130),"-")</f>
        <v>-</v>
      </c>
      <c r="O130" s="51" t="str">
        <f>IFERROR((C130+F130+I130)/3,"-")</f>
        <v>-</v>
      </c>
      <c r="P130" s="51">
        <f t="shared" ref="P130:P139" si="73">(D130+G130+J130)/3</f>
        <v>0</v>
      </c>
      <c r="Q130" s="342" t="s">
        <v>292</v>
      </c>
      <c r="R130" s="342"/>
      <c r="S130" s="189" t="str">
        <f>IFERROR(VLOOKUP($B130,'Load Test Points'!$A$70:$D$89,2,FALSE),"-")</f>
        <v>-</v>
      </c>
      <c r="T130" s="189" t="str">
        <f>IFERROR(VLOOKUP($B130,'Load Test Points'!$A$70:$D$89,3,FALSE),"-")</f>
        <v>-</v>
      </c>
      <c r="U130" s="189" t="str">
        <f>IFERROR(VLOOKUP($B130,'Load Test Points'!$A$70:$D$89,4,FALSE),"-")</f>
        <v>-</v>
      </c>
      <c r="V130" s="16"/>
      <c r="W130" s="159" t="e">
        <f t="shared" ref="W130:W139" si="74">O130-P130</f>
        <v>#VALUE!</v>
      </c>
      <c r="X130" s="187" t="str">
        <f>IFERROR(W130/O130,"-")</f>
        <v>-</v>
      </c>
      <c r="Y130" s="119"/>
      <c r="Z130" s="120" t="e">
        <f t="shared" ref="Z130:Z139" si="75">ABS((X130*O130)/$Z$76)^2</f>
        <v>#VALUE!</v>
      </c>
      <c r="AA130" s="120" t="e">
        <f>((O130*$AA$77)/$AA$76)^2</f>
        <v>#VALUE!</v>
      </c>
      <c r="AB130" s="120" t="e">
        <f>(((O130*$AB$77)/$AB$76)/2)^2</f>
        <v>#VALUE!</v>
      </c>
      <c r="AC130" s="120" t="str">
        <f>IFERROR(VLOOKUP(S130,'Calibration Standards'!$G$13:$M$23,7,FALSE),"-")</f>
        <v>-</v>
      </c>
      <c r="AD130" s="120" t="str">
        <f>IFERROR(VLOOKUP(T130,'Calibration Standards'!$G$13:$M$23,7,FALSE),"-")</f>
        <v>-</v>
      </c>
      <c r="AE130" s="120" t="str">
        <f>IFERROR(VLOOKUP(U130,'Calibration Standards'!$G$13:$M$23,7,FALSE),"-")</f>
        <v>-</v>
      </c>
      <c r="AF130" s="120">
        <f>IFERROR(VLOOKUP(S130,'Calibration Standards'!$G$13:$O$23,9,FALSE)-VLOOKUP(S130,'Calibration Standards'!$G$13:$O$23,8,FALSE),0)</f>
        <v>0</v>
      </c>
      <c r="AG130" s="120">
        <f>IFERROR(VLOOKUP(T130,'Calibration Standards'!$G$13:$O$23,9,FALSE)-VLOOKUP(T130,'Calibration Standards'!$G$13:$O$23,8,FALSE),0)</f>
        <v>0</v>
      </c>
      <c r="AH130" s="120">
        <f>IFERROR(VLOOKUP(U130,'Calibration Standards'!$G$13:$O$23,9,FALSE)-VLOOKUP(U130,'Calibration Standards'!$G$13:$O$23,8,FALSE),0)</f>
        <v>0</v>
      </c>
      <c r="AI130" s="120">
        <f>SUM(AF130:AH130)</f>
        <v>0</v>
      </c>
      <c r="AJ130" s="120">
        <f>(AI130/$AJ$76)^2</f>
        <v>0</v>
      </c>
      <c r="AK130" s="120">
        <f>IFERROR(VLOOKUP(S130,'Calibration Standards'!$G$13:$Q$23,11,FALSE),0)</f>
        <v>0</v>
      </c>
      <c r="AL130" s="120">
        <f>IFERROR(VLOOKUP(T130,'Calibration Standards'!$G$13:$Q$23,11,FALSE),0)</f>
        <v>0</v>
      </c>
      <c r="AM130" s="120">
        <f>IFERROR(VLOOKUP(U130,'Calibration Standards'!$G$13:$Q$23,11,FALSE),0)</f>
        <v>0</v>
      </c>
      <c r="AN130" s="120">
        <f>SUM(AK130:AM130)</f>
        <v>0</v>
      </c>
      <c r="AO130" s="120">
        <f>(AN130/$AO$76)^2</f>
        <v>0</v>
      </c>
      <c r="AP130" s="120">
        <f>$AP$77/$AP$76</f>
        <v>0</v>
      </c>
      <c r="AQ130" s="120">
        <f>$AQ$77/$AQ$76</f>
        <v>0</v>
      </c>
      <c r="AR130" s="120" t="e">
        <f t="shared" ref="AR130:AR139" si="76">((O130*$AR$77)/$AR$76)^2</f>
        <v>#VALUE!</v>
      </c>
      <c r="AS130" s="120" t="e">
        <f t="shared" ref="AS130:AS139" si="77">(O130*$AS$77)/$AS$76</f>
        <v>#VALUE!</v>
      </c>
      <c r="AT130" s="126" t="e">
        <f t="shared" ref="AT130:AT139" si="78">SUM(Z130:AB130,AP130:AS130)</f>
        <v>#VALUE!</v>
      </c>
      <c r="AU130" s="126" t="e">
        <f>SQRT(AT130)</f>
        <v>#VALUE!</v>
      </c>
      <c r="AV130" s="121" t="e">
        <f t="shared" ref="AV130:AV139" si="79">AW130/O130</f>
        <v>#VALUE!</v>
      </c>
      <c r="AW130" s="122" t="e">
        <f>AU130*2</f>
        <v>#VALUE!</v>
      </c>
      <c r="AX130" s="210" t="e">
        <f>SUM(Z130,AJ130,AO130,AP130,AQ130,AR130,AS130)</f>
        <v>#VALUE!</v>
      </c>
      <c r="AY130" s="210" t="e">
        <f>SQRT(AX130)</f>
        <v>#VALUE!</v>
      </c>
      <c r="AZ130" s="212" t="e">
        <f>AY130/O130</f>
        <v>#VALUE!</v>
      </c>
      <c r="BA130" s="210" t="e">
        <f>AY130*2</f>
        <v>#VALUE!</v>
      </c>
      <c r="BB130" s="178"/>
      <c r="BC130" s="145" t="e">
        <f t="shared" ref="BC130:BC139" si="80">B130</f>
        <v>#N/A</v>
      </c>
      <c r="BD130" s="147" t="str">
        <f t="shared" ref="BD130:BD139" si="81">E130</f>
        <v>-</v>
      </c>
      <c r="BE130" s="147" t="str">
        <f t="shared" ref="BE130:BE139" si="82">H130</f>
        <v>-</v>
      </c>
      <c r="BF130" s="133">
        <v>0.01</v>
      </c>
      <c r="BG130" s="148">
        <v>-0.01</v>
      </c>
    </row>
    <row r="131" spans="1:59" s="14" customFormat="1" x14ac:dyDescent="0.25">
      <c r="A131" s="278" t="s">
        <v>424</v>
      </c>
      <c r="B131" s="88" t="e">
        <f>VLOOKUP(INDEX('Load Test Points'!$A$28:$B$67, MATCH($G$16,'Load Test Points'!$A$28:$A$67,0),2),'Load Test Points'!$A$4:$K$24,3,FALSE)</f>
        <v>#N/A</v>
      </c>
      <c r="C131" s="89" t="str">
        <f t="shared" ref="C131:C138" si="83">IFERROR(IF(SUM($AC131:$AE131)=0,"-",SUM($AC131:$AE131)),"-")</f>
        <v>-</v>
      </c>
      <c r="D131" s="89"/>
      <c r="E131" s="131" t="str">
        <f t="shared" si="70"/>
        <v>-</v>
      </c>
      <c r="F131" s="209" t="str">
        <f t="shared" ref="F131:F138" si="84">IFERROR(IF(SUM($AC131:$AE131)=0,"-",SUM($AC131:$AE131)),"-")</f>
        <v>-</v>
      </c>
      <c r="G131" s="89"/>
      <c r="H131" s="131" t="str">
        <f t="shared" si="71"/>
        <v>-</v>
      </c>
      <c r="I131" s="209" t="str">
        <f t="shared" ref="I131:I138" si="85">IFERROR(IF(SUM($AC131:$AE131)=0,"-",SUM($AC131:$AE131)),"-")</f>
        <v>-</v>
      </c>
      <c r="J131" s="89"/>
      <c r="K131" s="131" t="str">
        <f t="shared" si="72"/>
        <v>-</v>
      </c>
      <c r="L131" s="90" t="str">
        <f t="shared" ref="L131:L139" si="86">IFERROR(ABS(E131-H131),"-")</f>
        <v>-</v>
      </c>
      <c r="M131" s="127" t="str">
        <f t="shared" ref="M131:M139" si="87">IFERROR(IF($D$28="Starrett Deadweight",AZ131,AV131),"-")</f>
        <v>-</v>
      </c>
      <c r="N131" s="89" t="str">
        <f t="shared" ref="N131:N139" si="88">IFERROR(IF($D$28="Starrett Deadweight",BA131,AW131),"-")</f>
        <v>-</v>
      </c>
      <c r="O131" s="51" t="str">
        <f t="shared" ref="O131:O139" si="89">IFERROR((C131+F131+I131)/3,"-")</f>
        <v>-</v>
      </c>
      <c r="P131" s="51">
        <f t="shared" si="73"/>
        <v>0</v>
      </c>
      <c r="Q131" s="342" t="s">
        <v>293</v>
      </c>
      <c r="R131" s="342"/>
      <c r="S131" s="189" t="str">
        <f>IFERROR(VLOOKUP($B131,'Load Test Points'!$A$70:$D$89,2,FALSE),"-")</f>
        <v>-</v>
      </c>
      <c r="T131" s="189" t="str">
        <f>IFERROR(VLOOKUP($B131,'Load Test Points'!$A$70:$D$89,3,FALSE),"-")</f>
        <v>-</v>
      </c>
      <c r="U131" s="189" t="str">
        <f>IFERROR(VLOOKUP($B131,'Load Test Points'!$A$70:$D$89,4,FALSE),"-")</f>
        <v>-</v>
      </c>
      <c r="V131" s="16"/>
      <c r="W131" s="159" t="e">
        <f t="shared" si="74"/>
        <v>#VALUE!</v>
      </c>
      <c r="X131" s="187" t="str">
        <f t="shared" ref="X131:X138" si="90">IFERROR(W131/O131,"-")</f>
        <v>-</v>
      </c>
      <c r="Y131" s="119"/>
      <c r="Z131" s="120" t="e">
        <f t="shared" si="75"/>
        <v>#VALUE!</v>
      </c>
      <c r="AA131" s="120" t="e">
        <f t="shared" ref="AA131:AA139" si="91">((O131*$AA$77)/$AA$76)^2</f>
        <v>#VALUE!</v>
      </c>
      <c r="AB131" s="120" t="e">
        <f t="shared" ref="AB131:AB139" si="92">(((O131*$AB$77)/$AB$76)/2)^2</f>
        <v>#VALUE!</v>
      </c>
      <c r="AC131" s="120" t="str">
        <f>IFERROR(VLOOKUP(S131,'Calibration Standards'!$G$13:$M$23,7,FALSE),"-")</f>
        <v>-</v>
      </c>
      <c r="AD131" s="120" t="str">
        <f>IFERROR(VLOOKUP(T131,'Calibration Standards'!$G$13:$M$23,7,FALSE),"-")</f>
        <v>-</v>
      </c>
      <c r="AE131" s="120" t="str">
        <f>IFERROR(VLOOKUP(U131,'Calibration Standards'!$G$13:$M$23,7,FALSE),"-")</f>
        <v>-</v>
      </c>
      <c r="AF131" s="120">
        <f>IFERROR(VLOOKUP(S131,'Calibration Standards'!$G$13:$O$23,9,FALSE)-VLOOKUP(S131,'Calibration Standards'!$G$13:$O$23,8,FALSE),0)</f>
        <v>0</v>
      </c>
      <c r="AG131" s="120">
        <f>IFERROR(VLOOKUP(T131,'Calibration Standards'!$G$13:$O$23,9,FALSE)-VLOOKUP(T131,'Calibration Standards'!$G$13:$O$23,8,FALSE),0)</f>
        <v>0</v>
      </c>
      <c r="AH131" s="120">
        <f>IFERROR(VLOOKUP(U131,'Calibration Standards'!$G$13:$O$23,9,FALSE)-VLOOKUP(U131,'Calibration Standards'!$G$13:$O$23,8,FALSE),0)</f>
        <v>0</v>
      </c>
      <c r="AI131" s="120">
        <f t="shared" ref="AI131:AI139" si="93">SUM(AF131:AH131)</f>
        <v>0</v>
      </c>
      <c r="AJ131" s="120">
        <f t="shared" ref="AJ131:AJ139" si="94">(AI131/$AJ$76)^2</f>
        <v>0</v>
      </c>
      <c r="AK131" s="120">
        <f>IFERROR(VLOOKUP(S131,'Calibration Standards'!$G$13:$Q$23,11,FALSE),0)</f>
        <v>0</v>
      </c>
      <c r="AL131" s="120">
        <f>IFERROR(VLOOKUP(T131,'Calibration Standards'!$G$13:$Q$23,11,FALSE),0)</f>
        <v>0</v>
      </c>
      <c r="AM131" s="120">
        <f>IFERROR(VLOOKUP(U131,'Calibration Standards'!$G$13:$Q$23,11,FALSE),0)</f>
        <v>0</v>
      </c>
      <c r="AN131" s="120">
        <f t="shared" ref="AN131:AN139" si="95">SUM(AK131:AM131)</f>
        <v>0</v>
      </c>
      <c r="AO131" s="120">
        <f t="shared" ref="AO131:AO139" si="96">(AN131/$AO$76)^2</f>
        <v>0</v>
      </c>
      <c r="AP131" s="120">
        <f t="shared" ref="AP131:AP139" si="97">$AP$77/$AP$76</f>
        <v>0</v>
      </c>
      <c r="AQ131" s="120">
        <f t="shared" ref="AQ131:AQ139" si="98">$AQ$77/$AQ$76</f>
        <v>0</v>
      </c>
      <c r="AR131" s="120" t="e">
        <f t="shared" si="76"/>
        <v>#VALUE!</v>
      </c>
      <c r="AS131" s="120" t="e">
        <f t="shared" si="77"/>
        <v>#VALUE!</v>
      </c>
      <c r="AT131" s="126" t="e">
        <f t="shared" si="78"/>
        <v>#VALUE!</v>
      </c>
      <c r="AU131" s="126" t="e">
        <f t="shared" ref="AU131:AU139" si="99">SQRT(AT131)</f>
        <v>#VALUE!</v>
      </c>
      <c r="AV131" s="121" t="e">
        <f t="shared" si="79"/>
        <v>#VALUE!</v>
      </c>
      <c r="AW131" s="122" t="e">
        <f t="shared" ref="AW131:AW139" si="100">AU131*2</f>
        <v>#VALUE!</v>
      </c>
      <c r="AX131" s="210" t="e">
        <f t="shared" ref="AX131:AX139" si="101">SUM(Z131,AJ131,AO131,AP131,AQ131,AR131,AS131)</f>
        <v>#VALUE!</v>
      </c>
      <c r="AY131" s="210" t="e">
        <f t="shared" ref="AY131:AY139" si="102">SQRT(AX131)</f>
        <v>#VALUE!</v>
      </c>
      <c r="AZ131" s="212" t="e">
        <f t="shared" ref="AZ131:AZ139" si="103">AY131/O131</f>
        <v>#VALUE!</v>
      </c>
      <c r="BA131" s="210" t="e">
        <f t="shared" ref="BA131:BA139" si="104">AY131*2</f>
        <v>#VALUE!</v>
      </c>
      <c r="BB131" s="178"/>
      <c r="BC131" s="145" t="e">
        <f t="shared" si="80"/>
        <v>#N/A</v>
      </c>
      <c r="BD131" s="147" t="str">
        <f t="shared" si="81"/>
        <v>-</v>
      </c>
      <c r="BE131" s="147" t="str">
        <f t="shared" si="82"/>
        <v>-</v>
      </c>
      <c r="BF131" s="133">
        <v>0.01</v>
      </c>
      <c r="BG131" s="148">
        <v>-0.01</v>
      </c>
    </row>
    <row r="132" spans="1:59" s="14" customFormat="1" x14ac:dyDescent="0.25">
      <c r="A132" s="278" t="s">
        <v>424</v>
      </c>
      <c r="B132" s="88" t="e">
        <f>VLOOKUP(INDEX('Load Test Points'!$A$28:$B$67, MATCH($G$16,'Load Test Points'!$A$28:$A$67,0),2),'Load Test Points'!$A$4:$K$24,4,FALSE)</f>
        <v>#N/A</v>
      </c>
      <c r="C132" s="89" t="str">
        <f t="shared" si="83"/>
        <v>-</v>
      </c>
      <c r="D132" s="89"/>
      <c r="E132" s="131" t="str">
        <f t="shared" si="70"/>
        <v>-</v>
      </c>
      <c r="F132" s="209" t="str">
        <f t="shared" si="84"/>
        <v>-</v>
      </c>
      <c r="G132" s="89"/>
      <c r="H132" s="131" t="str">
        <f t="shared" si="71"/>
        <v>-</v>
      </c>
      <c r="I132" s="209" t="str">
        <f t="shared" si="85"/>
        <v>-</v>
      </c>
      <c r="J132" s="89"/>
      <c r="K132" s="131" t="str">
        <f t="shared" si="72"/>
        <v>-</v>
      </c>
      <c r="L132" s="90" t="str">
        <f t="shared" si="86"/>
        <v>-</v>
      </c>
      <c r="M132" s="127" t="str">
        <f t="shared" si="87"/>
        <v>-</v>
      </c>
      <c r="N132" s="89" t="str">
        <f t="shared" si="88"/>
        <v>-</v>
      </c>
      <c r="O132" s="51" t="str">
        <f t="shared" si="89"/>
        <v>-</v>
      </c>
      <c r="P132" s="51">
        <f t="shared" si="73"/>
        <v>0</v>
      </c>
      <c r="Q132" s="342" t="s">
        <v>294</v>
      </c>
      <c r="R132" s="342"/>
      <c r="S132" s="189" t="str">
        <f>IFERROR(VLOOKUP($B132,'Load Test Points'!$A$70:$D$89,2,FALSE),"-")</f>
        <v>-</v>
      </c>
      <c r="T132" s="189" t="str">
        <f>IFERROR(VLOOKUP($B132,'Load Test Points'!$A$70:$D$89,3,FALSE),"-")</f>
        <v>-</v>
      </c>
      <c r="U132" s="189" t="str">
        <f>IFERROR(VLOOKUP($B132,'Load Test Points'!$A$70:$D$89,4,FALSE),"-")</f>
        <v>-</v>
      </c>
      <c r="V132" s="16"/>
      <c r="W132" s="159" t="e">
        <f t="shared" si="74"/>
        <v>#VALUE!</v>
      </c>
      <c r="X132" s="187" t="str">
        <f t="shared" si="90"/>
        <v>-</v>
      </c>
      <c r="Y132" s="119"/>
      <c r="Z132" s="120" t="e">
        <f t="shared" si="75"/>
        <v>#VALUE!</v>
      </c>
      <c r="AA132" s="120" t="e">
        <f t="shared" si="91"/>
        <v>#VALUE!</v>
      </c>
      <c r="AB132" s="120" t="e">
        <f t="shared" si="92"/>
        <v>#VALUE!</v>
      </c>
      <c r="AC132" s="120" t="str">
        <f>IFERROR(VLOOKUP(S132,'Calibration Standards'!$G$13:$M$23,7,FALSE),"-")</f>
        <v>-</v>
      </c>
      <c r="AD132" s="120" t="str">
        <f>IFERROR(VLOOKUP(T132,'Calibration Standards'!$G$13:$M$23,7,FALSE),"-")</f>
        <v>-</v>
      </c>
      <c r="AE132" s="120" t="str">
        <f>IFERROR(VLOOKUP(U132,'Calibration Standards'!$G$13:$M$23,7,FALSE),"-")</f>
        <v>-</v>
      </c>
      <c r="AF132" s="120">
        <f>IFERROR(VLOOKUP(S132,'Calibration Standards'!$G$13:$O$23,9,FALSE)-VLOOKUP(S132,'Calibration Standards'!$G$13:$O$23,8,FALSE),0)</f>
        <v>0</v>
      </c>
      <c r="AG132" s="120">
        <f>IFERROR(VLOOKUP(T132,'Calibration Standards'!$G$13:$O$23,9,FALSE)-VLOOKUP(T132,'Calibration Standards'!$G$13:$O$23,8,FALSE),0)</f>
        <v>0</v>
      </c>
      <c r="AH132" s="120">
        <f>IFERROR(VLOOKUP(U132,'Calibration Standards'!$G$13:$O$23,9,FALSE)-VLOOKUP(U132,'Calibration Standards'!$G$13:$O$23,8,FALSE),0)</f>
        <v>0</v>
      </c>
      <c r="AI132" s="120">
        <f t="shared" si="93"/>
        <v>0</v>
      </c>
      <c r="AJ132" s="120">
        <f t="shared" si="94"/>
        <v>0</v>
      </c>
      <c r="AK132" s="120">
        <f>IFERROR(VLOOKUP(S132,'Calibration Standards'!$G$13:$Q$23,11,FALSE),0)</f>
        <v>0</v>
      </c>
      <c r="AL132" s="120">
        <f>IFERROR(VLOOKUP(T132,'Calibration Standards'!$G$13:$Q$23,11,FALSE),0)</f>
        <v>0</v>
      </c>
      <c r="AM132" s="120">
        <f>IFERROR(VLOOKUP(U132,'Calibration Standards'!$G$13:$Q$23,11,FALSE),0)</f>
        <v>0</v>
      </c>
      <c r="AN132" s="120">
        <f t="shared" si="95"/>
        <v>0</v>
      </c>
      <c r="AO132" s="120">
        <f t="shared" si="96"/>
        <v>0</v>
      </c>
      <c r="AP132" s="120">
        <f t="shared" si="97"/>
        <v>0</v>
      </c>
      <c r="AQ132" s="120">
        <f t="shared" si="98"/>
        <v>0</v>
      </c>
      <c r="AR132" s="120" t="e">
        <f t="shared" si="76"/>
        <v>#VALUE!</v>
      </c>
      <c r="AS132" s="120" t="e">
        <f t="shared" si="77"/>
        <v>#VALUE!</v>
      </c>
      <c r="AT132" s="126" t="e">
        <f t="shared" si="78"/>
        <v>#VALUE!</v>
      </c>
      <c r="AU132" s="126" t="e">
        <f t="shared" si="99"/>
        <v>#VALUE!</v>
      </c>
      <c r="AV132" s="121" t="e">
        <f t="shared" si="79"/>
        <v>#VALUE!</v>
      </c>
      <c r="AW132" s="122" t="e">
        <f t="shared" si="100"/>
        <v>#VALUE!</v>
      </c>
      <c r="AX132" s="210" t="e">
        <f t="shared" si="101"/>
        <v>#VALUE!</v>
      </c>
      <c r="AY132" s="210" t="e">
        <f t="shared" si="102"/>
        <v>#VALUE!</v>
      </c>
      <c r="AZ132" s="212" t="e">
        <f t="shared" si="103"/>
        <v>#VALUE!</v>
      </c>
      <c r="BA132" s="210" t="e">
        <f t="shared" si="104"/>
        <v>#VALUE!</v>
      </c>
      <c r="BB132" s="178"/>
      <c r="BC132" s="145" t="e">
        <f t="shared" si="80"/>
        <v>#N/A</v>
      </c>
      <c r="BD132" s="147" t="str">
        <f t="shared" si="81"/>
        <v>-</v>
      </c>
      <c r="BE132" s="147" t="str">
        <f t="shared" si="82"/>
        <v>-</v>
      </c>
      <c r="BF132" s="133">
        <v>0.01</v>
      </c>
      <c r="BG132" s="148">
        <v>-0.01</v>
      </c>
    </row>
    <row r="133" spans="1:59" s="14" customFormat="1" ht="15" customHeight="1" x14ac:dyDescent="0.25">
      <c r="A133" s="278" t="s">
        <v>424</v>
      </c>
      <c r="B133" s="88" t="e">
        <f>VLOOKUP(INDEX('Load Test Points'!$A$28:$B$67, MATCH($G$16,'Load Test Points'!$A$28:$A$67,0),2),'Load Test Points'!$A$4:$K$24,5,FALSE)</f>
        <v>#N/A</v>
      </c>
      <c r="C133" s="89" t="str">
        <f t="shared" si="83"/>
        <v>-</v>
      </c>
      <c r="D133" s="89"/>
      <c r="E133" s="131" t="str">
        <f t="shared" si="70"/>
        <v>-</v>
      </c>
      <c r="F133" s="209" t="str">
        <f t="shared" si="84"/>
        <v>-</v>
      </c>
      <c r="G133" s="89"/>
      <c r="H133" s="131" t="str">
        <f t="shared" si="71"/>
        <v>-</v>
      </c>
      <c r="I133" s="209" t="str">
        <f t="shared" si="85"/>
        <v>-</v>
      </c>
      <c r="J133" s="89"/>
      <c r="K133" s="131" t="str">
        <f t="shared" si="72"/>
        <v>-</v>
      </c>
      <c r="L133" s="90" t="str">
        <f t="shared" si="86"/>
        <v>-</v>
      </c>
      <c r="M133" s="127" t="str">
        <f t="shared" si="87"/>
        <v>-</v>
      </c>
      <c r="N133" s="89" t="str">
        <f t="shared" si="88"/>
        <v>-</v>
      </c>
      <c r="O133" s="51" t="str">
        <f t="shared" si="89"/>
        <v>-</v>
      </c>
      <c r="P133" s="51">
        <f t="shared" si="73"/>
        <v>0</v>
      </c>
      <c r="Q133" s="342" t="s">
        <v>295</v>
      </c>
      <c r="R133" s="342"/>
      <c r="S133" s="189" t="str">
        <f>IFERROR(VLOOKUP($B133,'Load Test Points'!$A$70:$D$89,2,FALSE),"-")</f>
        <v>-</v>
      </c>
      <c r="T133" s="189" t="str">
        <f>IFERROR(VLOOKUP($B133,'Load Test Points'!$A$70:$D$89,3,FALSE),"-")</f>
        <v>-</v>
      </c>
      <c r="U133" s="189" t="str">
        <f>IFERROR(VLOOKUP($B133,'Load Test Points'!$A$70:$D$89,4,FALSE),"-")</f>
        <v>-</v>
      </c>
      <c r="V133" s="16"/>
      <c r="W133" s="159" t="e">
        <f t="shared" si="74"/>
        <v>#VALUE!</v>
      </c>
      <c r="X133" s="187" t="str">
        <f t="shared" si="90"/>
        <v>-</v>
      </c>
      <c r="Y133" s="119"/>
      <c r="Z133" s="120" t="e">
        <f t="shared" si="75"/>
        <v>#VALUE!</v>
      </c>
      <c r="AA133" s="120" t="e">
        <f t="shared" si="91"/>
        <v>#VALUE!</v>
      </c>
      <c r="AB133" s="120" t="e">
        <f t="shared" si="92"/>
        <v>#VALUE!</v>
      </c>
      <c r="AC133" s="120" t="str">
        <f>IFERROR(VLOOKUP(S133,'Calibration Standards'!$G$13:$M$23,7,FALSE),"-")</f>
        <v>-</v>
      </c>
      <c r="AD133" s="120" t="str">
        <f>IFERROR(VLOOKUP(T133,'Calibration Standards'!$G$13:$M$23,7,FALSE),"-")</f>
        <v>-</v>
      </c>
      <c r="AE133" s="120" t="str">
        <f>IFERROR(VLOOKUP(U133,'Calibration Standards'!$G$13:$M$23,7,FALSE),"-")</f>
        <v>-</v>
      </c>
      <c r="AF133" s="120">
        <f>IFERROR(VLOOKUP(S133,'Calibration Standards'!$G$13:$O$23,9,FALSE)-VLOOKUP(S133,'Calibration Standards'!$G$13:$O$23,8,FALSE),0)</f>
        <v>0</v>
      </c>
      <c r="AG133" s="120">
        <f>IFERROR(VLOOKUP(T133,'Calibration Standards'!$G$13:$O$23,9,FALSE)-VLOOKUP(T133,'Calibration Standards'!$G$13:$O$23,8,FALSE),0)</f>
        <v>0</v>
      </c>
      <c r="AH133" s="120">
        <f>IFERROR(VLOOKUP(U133,'Calibration Standards'!$G$13:$O$23,9,FALSE)-VLOOKUP(U133,'Calibration Standards'!$G$13:$O$23,8,FALSE),0)</f>
        <v>0</v>
      </c>
      <c r="AI133" s="120">
        <f t="shared" si="93"/>
        <v>0</v>
      </c>
      <c r="AJ133" s="120">
        <f t="shared" si="94"/>
        <v>0</v>
      </c>
      <c r="AK133" s="120">
        <f>IFERROR(VLOOKUP(S133,'Calibration Standards'!$G$13:$Q$23,11,FALSE),0)</f>
        <v>0</v>
      </c>
      <c r="AL133" s="120">
        <f>IFERROR(VLOOKUP(T133,'Calibration Standards'!$G$13:$Q$23,11,FALSE),0)</f>
        <v>0</v>
      </c>
      <c r="AM133" s="120">
        <f>IFERROR(VLOOKUP(U133,'Calibration Standards'!$G$13:$Q$23,11,FALSE),0)</f>
        <v>0</v>
      </c>
      <c r="AN133" s="120">
        <f t="shared" si="95"/>
        <v>0</v>
      </c>
      <c r="AO133" s="120">
        <f t="shared" si="96"/>
        <v>0</v>
      </c>
      <c r="AP133" s="120">
        <f t="shared" si="97"/>
        <v>0</v>
      </c>
      <c r="AQ133" s="120">
        <f t="shared" si="98"/>
        <v>0</v>
      </c>
      <c r="AR133" s="120" t="e">
        <f t="shared" si="76"/>
        <v>#VALUE!</v>
      </c>
      <c r="AS133" s="120" t="e">
        <f t="shared" si="77"/>
        <v>#VALUE!</v>
      </c>
      <c r="AT133" s="126" t="e">
        <f t="shared" si="78"/>
        <v>#VALUE!</v>
      </c>
      <c r="AU133" s="126" t="e">
        <f t="shared" si="99"/>
        <v>#VALUE!</v>
      </c>
      <c r="AV133" s="121" t="e">
        <f t="shared" si="79"/>
        <v>#VALUE!</v>
      </c>
      <c r="AW133" s="122" t="e">
        <f t="shared" si="100"/>
        <v>#VALUE!</v>
      </c>
      <c r="AX133" s="210" t="e">
        <f t="shared" si="101"/>
        <v>#VALUE!</v>
      </c>
      <c r="AY133" s="210" t="e">
        <f t="shared" si="102"/>
        <v>#VALUE!</v>
      </c>
      <c r="AZ133" s="212" t="e">
        <f t="shared" si="103"/>
        <v>#VALUE!</v>
      </c>
      <c r="BA133" s="210" t="e">
        <f t="shared" si="104"/>
        <v>#VALUE!</v>
      </c>
      <c r="BB133" s="178"/>
      <c r="BC133" s="145" t="e">
        <f t="shared" si="80"/>
        <v>#N/A</v>
      </c>
      <c r="BD133" s="147" t="str">
        <f t="shared" si="81"/>
        <v>-</v>
      </c>
      <c r="BE133" s="147" t="str">
        <f t="shared" si="82"/>
        <v>-</v>
      </c>
      <c r="BF133" s="133">
        <v>0.01</v>
      </c>
      <c r="BG133" s="148">
        <v>-0.01</v>
      </c>
    </row>
    <row r="134" spans="1:59" s="14" customFormat="1" x14ac:dyDescent="0.25">
      <c r="A134" s="278" t="s">
        <v>424</v>
      </c>
      <c r="B134" s="88" t="e">
        <f>VLOOKUP(INDEX('Load Test Points'!$A$28:$B$67, MATCH($G$16,'Load Test Points'!$A$28:$A$67,0),2),'Load Test Points'!$A$4:$K$24,6,FALSE)</f>
        <v>#N/A</v>
      </c>
      <c r="C134" s="89" t="str">
        <f t="shared" si="83"/>
        <v>-</v>
      </c>
      <c r="D134" s="89"/>
      <c r="E134" s="131" t="str">
        <f t="shared" si="70"/>
        <v>-</v>
      </c>
      <c r="F134" s="209" t="str">
        <f t="shared" si="84"/>
        <v>-</v>
      </c>
      <c r="G134" s="89"/>
      <c r="H134" s="131" t="str">
        <f t="shared" si="71"/>
        <v>-</v>
      </c>
      <c r="I134" s="209" t="str">
        <f t="shared" si="85"/>
        <v>-</v>
      </c>
      <c r="J134" s="89"/>
      <c r="K134" s="131" t="str">
        <f t="shared" si="72"/>
        <v>-</v>
      </c>
      <c r="L134" s="90" t="str">
        <f t="shared" si="86"/>
        <v>-</v>
      </c>
      <c r="M134" s="127" t="str">
        <f t="shared" si="87"/>
        <v>-</v>
      </c>
      <c r="N134" s="89" t="str">
        <f t="shared" si="88"/>
        <v>-</v>
      </c>
      <c r="O134" s="51" t="str">
        <f t="shared" si="89"/>
        <v>-</v>
      </c>
      <c r="P134" s="51">
        <f t="shared" si="73"/>
        <v>0</v>
      </c>
      <c r="Q134" s="342" t="s">
        <v>296</v>
      </c>
      <c r="R134" s="342"/>
      <c r="S134" s="189" t="str">
        <f>IFERROR(VLOOKUP($B134,'Load Test Points'!$A$70:$D$89,2,FALSE),"-")</f>
        <v>-</v>
      </c>
      <c r="T134" s="189" t="str">
        <f>IFERROR(VLOOKUP($B134,'Load Test Points'!$A$70:$D$89,3,FALSE),"-")</f>
        <v>-</v>
      </c>
      <c r="U134" s="189" t="str">
        <f>IFERROR(VLOOKUP($B134,'Load Test Points'!$A$70:$D$89,4,FALSE),"-")</f>
        <v>-</v>
      </c>
      <c r="V134" s="16"/>
      <c r="W134" s="159" t="e">
        <f t="shared" si="74"/>
        <v>#VALUE!</v>
      </c>
      <c r="X134" s="187" t="str">
        <f t="shared" si="90"/>
        <v>-</v>
      </c>
      <c r="Y134" s="119"/>
      <c r="Z134" s="120" t="e">
        <f t="shared" si="75"/>
        <v>#VALUE!</v>
      </c>
      <c r="AA134" s="120" t="e">
        <f t="shared" si="91"/>
        <v>#VALUE!</v>
      </c>
      <c r="AB134" s="120" t="e">
        <f t="shared" si="92"/>
        <v>#VALUE!</v>
      </c>
      <c r="AC134" s="120" t="str">
        <f>IFERROR(VLOOKUP(S134,'Calibration Standards'!$G$13:$M$23,7,FALSE),"-")</f>
        <v>-</v>
      </c>
      <c r="AD134" s="120" t="str">
        <f>IFERROR(VLOOKUP(T134,'Calibration Standards'!$G$13:$M$23,7,FALSE),"-")</f>
        <v>-</v>
      </c>
      <c r="AE134" s="120" t="str">
        <f>IFERROR(VLOOKUP(U134,'Calibration Standards'!$G$13:$M$23,7,FALSE),"-")</f>
        <v>-</v>
      </c>
      <c r="AF134" s="120">
        <f>IFERROR(VLOOKUP(S134,'Calibration Standards'!$G$13:$O$23,9,FALSE)-VLOOKUP(S134,'Calibration Standards'!$G$13:$O$23,8,FALSE),0)</f>
        <v>0</v>
      </c>
      <c r="AG134" s="120">
        <f>IFERROR(VLOOKUP(T134,'Calibration Standards'!$G$13:$O$23,9,FALSE)-VLOOKUP(T134,'Calibration Standards'!$G$13:$O$23,8,FALSE),0)</f>
        <v>0</v>
      </c>
      <c r="AH134" s="120">
        <f>IFERROR(VLOOKUP(U134,'Calibration Standards'!$G$13:$O$23,9,FALSE)-VLOOKUP(U134,'Calibration Standards'!$G$13:$O$23,8,FALSE),0)</f>
        <v>0</v>
      </c>
      <c r="AI134" s="120">
        <f t="shared" si="93"/>
        <v>0</v>
      </c>
      <c r="AJ134" s="120">
        <f t="shared" si="94"/>
        <v>0</v>
      </c>
      <c r="AK134" s="120">
        <f>IFERROR(VLOOKUP(S134,'Calibration Standards'!$G$13:$Q$23,11,FALSE),0)</f>
        <v>0</v>
      </c>
      <c r="AL134" s="120">
        <f>IFERROR(VLOOKUP(T134,'Calibration Standards'!$G$13:$Q$23,11,FALSE),0)</f>
        <v>0</v>
      </c>
      <c r="AM134" s="120">
        <f>IFERROR(VLOOKUP(U134,'Calibration Standards'!$G$13:$Q$23,11,FALSE),0)</f>
        <v>0</v>
      </c>
      <c r="AN134" s="120">
        <f t="shared" si="95"/>
        <v>0</v>
      </c>
      <c r="AO134" s="120">
        <f t="shared" si="96"/>
        <v>0</v>
      </c>
      <c r="AP134" s="120">
        <f t="shared" si="97"/>
        <v>0</v>
      </c>
      <c r="AQ134" s="120">
        <f t="shared" si="98"/>
        <v>0</v>
      </c>
      <c r="AR134" s="120" t="e">
        <f t="shared" si="76"/>
        <v>#VALUE!</v>
      </c>
      <c r="AS134" s="120" t="e">
        <f t="shared" si="77"/>
        <v>#VALUE!</v>
      </c>
      <c r="AT134" s="126" t="e">
        <f t="shared" si="78"/>
        <v>#VALUE!</v>
      </c>
      <c r="AU134" s="126" t="e">
        <f t="shared" si="99"/>
        <v>#VALUE!</v>
      </c>
      <c r="AV134" s="121" t="e">
        <f t="shared" si="79"/>
        <v>#VALUE!</v>
      </c>
      <c r="AW134" s="122" t="e">
        <f t="shared" si="100"/>
        <v>#VALUE!</v>
      </c>
      <c r="AX134" s="210" t="e">
        <f t="shared" si="101"/>
        <v>#VALUE!</v>
      </c>
      <c r="AY134" s="210" t="e">
        <f t="shared" si="102"/>
        <v>#VALUE!</v>
      </c>
      <c r="AZ134" s="212" t="e">
        <f t="shared" si="103"/>
        <v>#VALUE!</v>
      </c>
      <c r="BA134" s="210" t="e">
        <f t="shared" si="104"/>
        <v>#VALUE!</v>
      </c>
      <c r="BB134" s="178"/>
      <c r="BC134" s="145" t="e">
        <f t="shared" si="80"/>
        <v>#N/A</v>
      </c>
      <c r="BD134" s="147" t="str">
        <f t="shared" si="81"/>
        <v>-</v>
      </c>
      <c r="BE134" s="147" t="str">
        <f t="shared" si="82"/>
        <v>-</v>
      </c>
      <c r="BF134" s="133">
        <v>0.01</v>
      </c>
      <c r="BG134" s="148">
        <v>-0.01</v>
      </c>
    </row>
    <row r="135" spans="1:59" s="14" customFormat="1" x14ac:dyDescent="0.25">
      <c r="A135" s="278" t="s">
        <v>424</v>
      </c>
      <c r="B135" s="88" t="e">
        <f>VLOOKUP(INDEX('Load Test Points'!$A$28:$B$67, MATCH($G$16,'Load Test Points'!$A$28:$A$67,0),2),'Load Test Points'!$A$4:$K$24,7,FALSE)</f>
        <v>#N/A</v>
      </c>
      <c r="C135" s="89" t="str">
        <f t="shared" si="83"/>
        <v>-</v>
      </c>
      <c r="D135" s="89"/>
      <c r="E135" s="131" t="str">
        <f t="shared" si="70"/>
        <v>-</v>
      </c>
      <c r="F135" s="209" t="str">
        <f t="shared" si="84"/>
        <v>-</v>
      </c>
      <c r="G135" s="89"/>
      <c r="H135" s="131" t="str">
        <f t="shared" si="71"/>
        <v>-</v>
      </c>
      <c r="I135" s="209" t="str">
        <f t="shared" si="85"/>
        <v>-</v>
      </c>
      <c r="J135" s="89"/>
      <c r="K135" s="131" t="str">
        <f t="shared" si="72"/>
        <v>-</v>
      </c>
      <c r="L135" s="90" t="str">
        <f t="shared" si="86"/>
        <v>-</v>
      </c>
      <c r="M135" s="127" t="str">
        <f t="shared" si="87"/>
        <v>-</v>
      </c>
      <c r="N135" s="89" t="str">
        <f t="shared" si="88"/>
        <v>-</v>
      </c>
      <c r="O135" s="51" t="str">
        <f t="shared" si="89"/>
        <v>-</v>
      </c>
      <c r="P135" s="51">
        <f t="shared" si="73"/>
        <v>0</v>
      </c>
      <c r="Q135" s="342" t="s">
        <v>297</v>
      </c>
      <c r="R135" s="342"/>
      <c r="S135" s="189" t="str">
        <f>IFERROR(VLOOKUP($B135,'Load Test Points'!$A$70:$D$89,2,FALSE),"-")</f>
        <v>-</v>
      </c>
      <c r="T135" s="189" t="str">
        <f>IFERROR(VLOOKUP($B135,'Load Test Points'!$A$70:$D$89,3,FALSE),"-")</f>
        <v>-</v>
      </c>
      <c r="U135" s="189" t="str">
        <f>IFERROR(VLOOKUP($B135,'Load Test Points'!$A$70:$D$89,4,FALSE),"-")</f>
        <v>-</v>
      </c>
      <c r="V135" s="16"/>
      <c r="W135" s="159" t="e">
        <f t="shared" si="74"/>
        <v>#VALUE!</v>
      </c>
      <c r="X135" s="187" t="str">
        <f t="shared" si="90"/>
        <v>-</v>
      </c>
      <c r="Y135" s="119"/>
      <c r="Z135" s="120" t="e">
        <f t="shared" si="75"/>
        <v>#VALUE!</v>
      </c>
      <c r="AA135" s="120" t="e">
        <f t="shared" si="91"/>
        <v>#VALUE!</v>
      </c>
      <c r="AB135" s="120" t="e">
        <f t="shared" si="92"/>
        <v>#VALUE!</v>
      </c>
      <c r="AC135" s="120" t="str">
        <f>IFERROR(VLOOKUP(S135,'Calibration Standards'!$G$13:$M$23,7,FALSE),"-")</f>
        <v>-</v>
      </c>
      <c r="AD135" s="120" t="str">
        <f>IFERROR(VLOOKUP(T135,'Calibration Standards'!$G$13:$M$23,7,FALSE),"-")</f>
        <v>-</v>
      </c>
      <c r="AE135" s="120" t="str">
        <f>IFERROR(VLOOKUP(U135,'Calibration Standards'!$G$13:$M$23,7,FALSE),"-")</f>
        <v>-</v>
      </c>
      <c r="AF135" s="120">
        <f>IFERROR(VLOOKUP(S135,'Calibration Standards'!$G$13:$O$23,9,FALSE)-VLOOKUP(S135,'Calibration Standards'!$G$13:$O$23,8,FALSE),0)</f>
        <v>0</v>
      </c>
      <c r="AG135" s="120">
        <f>IFERROR(VLOOKUP(T135,'Calibration Standards'!$G$13:$O$23,9,FALSE)-VLOOKUP(T135,'Calibration Standards'!$G$13:$O$23,8,FALSE),0)</f>
        <v>0</v>
      </c>
      <c r="AH135" s="120">
        <f>IFERROR(VLOOKUP(U135,'Calibration Standards'!$G$13:$O$23,9,FALSE)-VLOOKUP(U135,'Calibration Standards'!$G$13:$O$23,8,FALSE),0)</f>
        <v>0</v>
      </c>
      <c r="AI135" s="120">
        <f t="shared" si="93"/>
        <v>0</v>
      </c>
      <c r="AJ135" s="120">
        <f t="shared" si="94"/>
        <v>0</v>
      </c>
      <c r="AK135" s="120">
        <f>IFERROR(VLOOKUP(S135,'Calibration Standards'!$G$13:$Q$23,11,FALSE),0)</f>
        <v>0</v>
      </c>
      <c r="AL135" s="120">
        <f>IFERROR(VLOOKUP(T135,'Calibration Standards'!$G$13:$Q$23,11,FALSE),0)</f>
        <v>0</v>
      </c>
      <c r="AM135" s="120">
        <f>IFERROR(VLOOKUP(U135,'Calibration Standards'!$G$13:$Q$23,11,FALSE),0)</f>
        <v>0</v>
      </c>
      <c r="AN135" s="120">
        <f t="shared" si="95"/>
        <v>0</v>
      </c>
      <c r="AO135" s="120">
        <f t="shared" si="96"/>
        <v>0</v>
      </c>
      <c r="AP135" s="120">
        <f t="shared" si="97"/>
        <v>0</v>
      </c>
      <c r="AQ135" s="120">
        <f t="shared" si="98"/>
        <v>0</v>
      </c>
      <c r="AR135" s="120" t="e">
        <f t="shared" si="76"/>
        <v>#VALUE!</v>
      </c>
      <c r="AS135" s="120" t="e">
        <f t="shared" si="77"/>
        <v>#VALUE!</v>
      </c>
      <c r="AT135" s="126" t="e">
        <f t="shared" si="78"/>
        <v>#VALUE!</v>
      </c>
      <c r="AU135" s="126" t="e">
        <f t="shared" si="99"/>
        <v>#VALUE!</v>
      </c>
      <c r="AV135" s="121" t="e">
        <f t="shared" si="79"/>
        <v>#VALUE!</v>
      </c>
      <c r="AW135" s="122" t="e">
        <f t="shared" si="100"/>
        <v>#VALUE!</v>
      </c>
      <c r="AX135" s="210" t="e">
        <f t="shared" si="101"/>
        <v>#VALUE!</v>
      </c>
      <c r="AY135" s="210" t="e">
        <f t="shared" si="102"/>
        <v>#VALUE!</v>
      </c>
      <c r="AZ135" s="212" t="e">
        <f t="shared" si="103"/>
        <v>#VALUE!</v>
      </c>
      <c r="BA135" s="210" t="e">
        <f t="shared" si="104"/>
        <v>#VALUE!</v>
      </c>
      <c r="BB135" s="178"/>
      <c r="BC135" s="145" t="e">
        <f t="shared" si="80"/>
        <v>#N/A</v>
      </c>
      <c r="BD135" s="147" t="str">
        <f t="shared" si="81"/>
        <v>-</v>
      </c>
      <c r="BE135" s="147" t="str">
        <f t="shared" si="82"/>
        <v>-</v>
      </c>
      <c r="BF135" s="133">
        <v>0.01</v>
      </c>
      <c r="BG135" s="148">
        <v>-0.01</v>
      </c>
    </row>
    <row r="136" spans="1:59" s="14" customFormat="1" x14ac:dyDescent="0.25">
      <c r="A136" s="278" t="s">
        <v>424</v>
      </c>
      <c r="B136" s="88" t="e">
        <f>VLOOKUP(INDEX('Load Test Points'!$A$28:$B$67, MATCH($G$16,'Load Test Points'!$A$28:$A$67,0),2),'Load Test Points'!$A$4:$K$24,8,FALSE)</f>
        <v>#N/A</v>
      </c>
      <c r="C136" s="89" t="str">
        <f t="shared" si="83"/>
        <v>-</v>
      </c>
      <c r="D136" s="89"/>
      <c r="E136" s="131" t="str">
        <f t="shared" si="70"/>
        <v>-</v>
      </c>
      <c r="F136" s="209" t="str">
        <f t="shared" si="84"/>
        <v>-</v>
      </c>
      <c r="G136" s="89"/>
      <c r="H136" s="131" t="str">
        <f t="shared" si="71"/>
        <v>-</v>
      </c>
      <c r="I136" s="209" t="str">
        <f t="shared" si="85"/>
        <v>-</v>
      </c>
      <c r="J136" s="89"/>
      <c r="K136" s="131" t="str">
        <f t="shared" si="72"/>
        <v>-</v>
      </c>
      <c r="L136" s="90" t="str">
        <f t="shared" si="86"/>
        <v>-</v>
      </c>
      <c r="M136" s="127" t="str">
        <f t="shared" si="87"/>
        <v>-</v>
      </c>
      <c r="N136" s="89" t="str">
        <f t="shared" si="88"/>
        <v>-</v>
      </c>
      <c r="O136" s="51" t="str">
        <f t="shared" si="89"/>
        <v>-</v>
      </c>
      <c r="P136" s="51">
        <f t="shared" si="73"/>
        <v>0</v>
      </c>
      <c r="Q136" s="342" t="s">
        <v>298</v>
      </c>
      <c r="R136" s="342"/>
      <c r="S136" s="189" t="str">
        <f>IFERROR(VLOOKUP($B136,'Load Test Points'!$A$70:$D$89,2,FALSE),"-")</f>
        <v>-</v>
      </c>
      <c r="T136" s="189" t="str">
        <f>IFERROR(VLOOKUP($B136,'Load Test Points'!$A$70:$D$89,3,FALSE),"-")</f>
        <v>-</v>
      </c>
      <c r="U136" s="189" t="str">
        <f>IFERROR(VLOOKUP($B136,'Load Test Points'!$A$70:$D$89,4,FALSE),"-")</f>
        <v>-</v>
      </c>
      <c r="V136" s="16"/>
      <c r="W136" s="159" t="e">
        <f t="shared" si="74"/>
        <v>#VALUE!</v>
      </c>
      <c r="X136" s="187" t="str">
        <f t="shared" si="90"/>
        <v>-</v>
      </c>
      <c r="Y136" s="119"/>
      <c r="Z136" s="120" t="e">
        <f t="shared" si="75"/>
        <v>#VALUE!</v>
      </c>
      <c r="AA136" s="120" t="e">
        <f t="shared" si="91"/>
        <v>#VALUE!</v>
      </c>
      <c r="AB136" s="120" t="e">
        <f t="shared" si="92"/>
        <v>#VALUE!</v>
      </c>
      <c r="AC136" s="120" t="str">
        <f>IFERROR(VLOOKUP(S136,'Calibration Standards'!$G$13:$M$23,7,FALSE),"-")</f>
        <v>-</v>
      </c>
      <c r="AD136" s="120" t="str">
        <f>IFERROR(VLOOKUP(T136,'Calibration Standards'!$G$13:$M$23,7,FALSE),"-")</f>
        <v>-</v>
      </c>
      <c r="AE136" s="120" t="str">
        <f>IFERROR(VLOOKUP(U136,'Calibration Standards'!$G$13:$M$23,7,FALSE),"-")</f>
        <v>-</v>
      </c>
      <c r="AF136" s="120">
        <f>IFERROR(VLOOKUP(S136,'Calibration Standards'!$G$13:$O$23,9,FALSE)-VLOOKUP(S136,'Calibration Standards'!$G$13:$O$23,8,FALSE),0)</f>
        <v>0</v>
      </c>
      <c r="AG136" s="120">
        <f>IFERROR(VLOOKUP(T136,'Calibration Standards'!$G$13:$O$23,9,FALSE)-VLOOKUP(T136,'Calibration Standards'!$G$13:$O$23,8,FALSE),0)</f>
        <v>0</v>
      </c>
      <c r="AH136" s="120">
        <f>IFERROR(VLOOKUP(U136,'Calibration Standards'!$G$13:$O$23,9,FALSE)-VLOOKUP(U136,'Calibration Standards'!$G$13:$O$23,8,FALSE),0)</f>
        <v>0</v>
      </c>
      <c r="AI136" s="120">
        <f t="shared" si="93"/>
        <v>0</v>
      </c>
      <c r="AJ136" s="120">
        <f t="shared" si="94"/>
        <v>0</v>
      </c>
      <c r="AK136" s="120">
        <f>IFERROR(VLOOKUP(S136,'Calibration Standards'!$G$13:$Q$23,11,FALSE),0)</f>
        <v>0</v>
      </c>
      <c r="AL136" s="120">
        <f>IFERROR(VLOOKUP(T136,'Calibration Standards'!$G$13:$Q$23,11,FALSE),0)</f>
        <v>0</v>
      </c>
      <c r="AM136" s="120">
        <f>IFERROR(VLOOKUP(U136,'Calibration Standards'!$G$13:$Q$23,11,FALSE),0)</f>
        <v>0</v>
      </c>
      <c r="AN136" s="120">
        <f t="shared" si="95"/>
        <v>0</v>
      </c>
      <c r="AO136" s="120">
        <f t="shared" si="96"/>
        <v>0</v>
      </c>
      <c r="AP136" s="120">
        <f t="shared" si="97"/>
        <v>0</v>
      </c>
      <c r="AQ136" s="120">
        <f t="shared" si="98"/>
        <v>0</v>
      </c>
      <c r="AR136" s="120" t="e">
        <f t="shared" si="76"/>
        <v>#VALUE!</v>
      </c>
      <c r="AS136" s="120" t="e">
        <f t="shared" si="77"/>
        <v>#VALUE!</v>
      </c>
      <c r="AT136" s="126" t="e">
        <f t="shared" si="78"/>
        <v>#VALUE!</v>
      </c>
      <c r="AU136" s="126" t="e">
        <f t="shared" si="99"/>
        <v>#VALUE!</v>
      </c>
      <c r="AV136" s="121" t="e">
        <f t="shared" si="79"/>
        <v>#VALUE!</v>
      </c>
      <c r="AW136" s="122" t="e">
        <f t="shared" si="100"/>
        <v>#VALUE!</v>
      </c>
      <c r="AX136" s="210" t="e">
        <f t="shared" si="101"/>
        <v>#VALUE!</v>
      </c>
      <c r="AY136" s="210" t="e">
        <f t="shared" si="102"/>
        <v>#VALUE!</v>
      </c>
      <c r="AZ136" s="212" t="e">
        <f t="shared" si="103"/>
        <v>#VALUE!</v>
      </c>
      <c r="BA136" s="210" t="e">
        <f t="shared" si="104"/>
        <v>#VALUE!</v>
      </c>
      <c r="BB136" s="178"/>
      <c r="BC136" s="145" t="e">
        <f t="shared" si="80"/>
        <v>#N/A</v>
      </c>
      <c r="BD136" s="147" t="str">
        <f t="shared" si="81"/>
        <v>-</v>
      </c>
      <c r="BE136" s="147" t="str">
        <f t="shared" si="82"/>
        <v>-</v>
      </c>
      <c r="BF136" s="133">
        <v>0.01</v>
      </c>
      <c r="BG136" s="148">
        <v>-0.01</v>
      </c>
    </row>
    <row r="137" spans="1:59" s="14" customFormat="1" x14ac:dyDescent="0.25">
      <c r="A137" s="278" t="s">
        <v>424</v>
      </c>
      <c r="B137" s="88" t="e">
        <f>VLOOKUP(INDEX('Load Test Points'!$A$28:$B$67, MATCH($G$16,'Load Test Points'!$A$28:$A$67,0),2),'Load Test Points'!$A$4:$K$24,9,FALSE)</f>
        <v>#N/A</v>
      </c>
      <c r="C137" s="89" t="str">
        <f t="shared" si="83"/>
        <v>-</v>
      </c>
      <c r="D137" s="89"/>
      <c r="E137" s="131" t="str">
        <f t="shared" si="70"/>
        <v>-</v>
      </c>
      <c r="F137" s="209" t="str">
        <f t="shared" si="84"/>
        <v>-</v>
      </c>
      <c r="G137" s="89"/>
      <c r="H137" s="131" t="str">
        <f t="shared" si="71"/>
        <v>-</v>
      </c>
      <c r="I137" s="209" t="str">
        <f t="shared" si="85"/>
        <v>-</v>
      </c>
      <c r="J137" s="89"/>
      <c r="K137" s="131" t="str">
        <f t="shared" si="72"/>
        <v>-</v>
      </c>
      <c r="L137" s="90" t="str">
        <f t="shared" si="86"/>
        <v>-</v>
      </c>
      <c r="M137" s="127" t="str">
        <f t="shared" si="87"/>
        <v>-</v>
      </c>
      <c r="N137" s="89" t="str">
        <f t="shared" si="88"/>
        <v>-</v>
      </c>
      <c r="O137" s="51" t="str">
        <f t="shared" si="89"/>
        <v>-</v>
      </c>
      <c r="P137" s="51">
        <f t="shared" si="73"/>
        <v>0</v>
      </c>
      <c r="Q137" s="342" t="s">
        <v>299</v>
      </c>
      <c r="R137" s="342"/>
      <c r="S137" s="189" t="str">
        <f>IFERROR(VLOOKUP($B137,'Load Test Points'!$A$70:$D$89,2,FALSE),"-")</f>
        <v>-</v>
      </c>
      <c r="T137" s="189" t="str">
        <f>IFERROR(VLOOKUP($B137,'Load Test Points'!$A$70:$D$89,3,FALSE),"-")</f>
        <v>-</v>
      </c>
      <c r="U137" s="189" t="str">
        <f>IFERROR(VLOOKUP($B137,'Load Test Points'!$A$70:$D$89,4,FALSE),"-")</f>
        <v>-</v>
      </c>
      <c r="V137" s="16"/>
      <c r="W137" s="159" t="e">
        <f t="shared" si="74"/>
        <v>#VALUE!</v>
      </c>
      <c r="X137" s="187" t="str">
        <f t="shared" si="90"/>
        <v>-</v>
      </c>
      <c r="Y137" s="119"/>
      <c r="Z137" s="120" t="e">
        <f t="shared" si="75"/>
        <v>#VALUE!</v>
      </c>
      <c r="AA137" s="120" t="e">
        <f t="shared" si="91"/>
        <v>#VALUE!</v>
      </c>
      <c r="AB137" s="120" t="e">
        <f t="shared" si="92"/>
        <v>#VALUE!</v>
      </c>
      <c r="AC137" s="120" t="str">
        <f>IFERROR(VLOOKUP(S137,'Calibration Standards'!$G$13:$M$23,7,FALSE),"-")</f>
        <v>-</v>
      </c>
      <c r="AD137" s="120" t="str">
        <f>IFERROR(VLOOKUP(T137,'Calibration Standards'!$G$13:$M$23,7,FALSE),"-")</f>
        <v>-</v>
      </c>
      <c r="AE137" s="120" t="str">
        <f>IFERROR(VLOOKUP(U137,'Calibration Standards'!$G$13:$M$23,7,FALSE),"-")</f>
        <v>-</v>
      </c>
      <c r="AF137" s="120">
        <f>IFERROR(VLOOKUP(S137,'Calibration Standards'!$G$13:$O$23,9,FALSE)-VLOOKUP(S137,'Calibration Standards'!$G$13:$O$23,8,FALSE),0)</f>
        <v>0</v>
      </c>
      <c r="AG137" s="120">
        <f>IFERROR(VLOOKUP(T137,'Calibration Standards'!$G$13:$O$23,9,FALSE)-VLOOKUP(T137,'Calibration Standards'!$G$13:$O$23,8,FALSE),0)</f>
        <v>0</v>
      </c>
      <c r="AH137" s="120">
        <f>IFERROR(VLOOKUP(U137,'Calibration Standards'!$G$13:$O$23,9,FALSE)-VLOOKUP(U137,'Calibration Standards'!$G$13:$O$23,8,FALSE),0)</f>
        <v>0</v>
      </c>
      <c r="AI137" s="120">
        <f t="shared" si="93"/>
        <v>0</v>
      </c>
      <c r="AJ137" s="120">
        <f t="shared" si="94"/>
        <v>0</v>
      </c>
      <c r="AK137" s="120">
        <f>IFERROR(VLOOKUP(S137,'Calibration Standards'!$G$13:$Q$23,11,FALSE),0)</f>
        <v>0</v>
      </c>
      <c r="AL137" s="120">
        <f>IFERROR(VLOOKUP(T137,'Calibration Standards'!$G$13:$Q$23,11,FALSE),0)</f>
        <v>0</v>
      </c>
      <c r="AM137" s="120">
        <f>IFERROR(VLOOKUP(U137,'Calibration Standards'!$G$13:$Q$23,11,FALSE),0)</f>
        <v>0</v>
      </c>
      <c r="AN137" s="120">
        <f t="shared" si="95"/>
        <v>0</v>
      </c>
      <c r="AO137" s="120">
        <f t="shared" si="96"/>
        <v>0</v>
      </c>
      <c r="AP137" s="120">
        <f t="shared" si="97"/>
        <v>0</v>
      </c>
      <c r="AQ137" s="120">
        <f t="shared" si="98"/>
        <v>0</v>
      </c>
      <c r="AR137" s="120" t="e">
        <f t="shared" si="76"/>
        <v>#VALUE!</v>
      </c>
      <c r="AS137" s="120" t="e">
        <f t="shared" si="77"/>
        <v>#VALUE!</v>
      </c>
      <c r="AT137" s="126" t="e">
        <f t="shared" si="78"/>
        <v>#VALUE!</v>
      </c>
      <c r="AU137" s="126" t="e">
        <f t="shared" si="99"/>
        <v>#VALUE!</v>
      </c>
      <c r="AV137" s="121" t="e">
        <f t="shared" si="79"/>
        <v>#VALUE!</v>
      </c>
      <c r="AW137" s="122" t="e">
        <f t="shared" si="100"/>
        <v>#VALUE!</v>
      </c>
      <c r="AX137" s="210" t="e">
        <f t="shared" si="101"/>
        <v>#VALUE!</v>
      </c>
      <c r="AY137" s="210" t="e">
        <f t="shared" si="102"/>
        <v>#VALUE!</v>
      </c>
      <c r="AZ137" s="212" t="e">
        <f t="shared" si="103"/>
        <v>#VALUE!</v>
      </c>
      <c r="BA137" s="210" t="e">
        <f t="shared" si="104"/>
        <v>#VALUE!</v>
      </c>
      <c r="BB137" s="178"/>
      <c r="BC137" s="145" t="e">
        <f t="shared" si="80"/>
        <v>#N/A</v>
      </c>
      <c r="BD137" s="147" t="str">
        <f t="shared" si="81"/>
        <v>-</v>
      </c>
      <c r="BE137" s="147" t="str">
        <f t="shared" si="82"/>
        <v>-</v>
      </c>
      <c r="BF137" s="133">
        <v>0.01</v>
      </c>
      <c r="BG137" s="148">
        <v>-0.01</v>
      </c>
    </row>
    <row r="138" spans="1:59" s="14" customFormat="1" x14ac:dyDescent="0.25">
      <c r="A138" s="278" t="s">
        <v>424</v>
      </c>
      <c r="B138" s="88" t="e">
        <f>VLOOKUP(INDEX('Load Test Points'!$A$28:$B$67, MATCH($G$16,'Load Test Points'!$A$28:$A$67,0),2),'Load Test Points'!$A$4:$K$24,10,FALSE)</f>
        <v>#N/A</v>
      </c>
      <c r="C138" s="89" t="str">
        <f t="shared" si="83"/>
        <v>-</v>
      </c>
      <c r="D138" s="89"/>
      <c r="E138" s="131" t="str">
        <f t="shared" si="70"/>
        <v>-</v>
      </c>
      <c r="F138" s="209" t="str">
        <f t="shared" si="84"/>
        <v>-</v>
      </c>
      <c r="G138" s="89"/>
      <c r="H138" s="131" t="str">
        <f t="shared" si="71"/>
        <v>-</v>
      </c>
      <c r="I138" s="209" t="str">
        <f t="shared" si="85"/>
        <v>-</v>
      </c>
      <c r="J138" s="89"/>
      <c r="K138" s="131" t="str">
        <f t="shared" si="72"/>
        <v>-</v>
      </c>
      <c r="L138" s="90" t="str">
        <f t="shared" si="86"/>
        <v>-</v>
      </c>
      <c r="M138" s="127" t="str">
        <f t="shared" si="87"/>
        <v>-</v>
      </c>
      <c r="N138" s="89" t="str">
        <f t="shared" si="88"/>
        <v>-</v>
      </c>
      <c r="O138" s="51" t="str">
        <f t="shared" si="89"/>
        <v>-</v>
      </c>
      <c r="P138" s="51">
        <f t="shared" si="73"/>
        <v>0</v>
      </c>
      <c r="Q138" s="342" t="s">
        <v>300</v>
      </c>
      <c r="R138" s="342"/>
      <c r="S138" s="189" t="str">
        <f>IFERROR(VLOOKUP($B138,'Load Test Points'!$A$70:$D$89,2,FALSE),"-")</f>
        <v>-</v>
      </c>
      <c r="T138" s="189" t="str">
        <f>IFERROR(VLOOKUP($B138,'Load Test Points'!$A$70:$D$89,3,FALSE),"-")</f>
        <v>-</v>
      </c>
      <c r="U138" s="189" t="str">
        <f>IFERROR(VLOOKUP($B138,'Load Test Points'!$A$70:$D$89,4,FALSE),"-")</f>
        <v>-</v>
      </c>
      <c r="V138" s="16"/>
      <c r="W138" s="159" t="e">
        <f t="shared" si="74"/>
        <v>#VALUE!</v>
      </c>
      <c r="X138" s="187" t="str">
        <f t="shared" si="90"/>
        <v>-</v>
      </c>
      <c r="Y138" s="119"/>
      <c r="Z138" s="120" t="e">
        <f t="shared" si="75"/>
        <v>#VALUE!</v>
      </c>
      <c r="AA138" s="120" t="e">
        <f t="shared" si="91"/>
        <v>#VALUE!</v>
      </c>
      <c r="AB138" s="120" t="e">
        <f t="shared" si="92"/>
        <v>#VALUE!</v>
      </c>
      <c r="AC138" s="120" t="str">
        <f>IFERROR(VLOOKUP(S138,'Calibration Standards'!$G$13:$M$23,7,FALSE),"-")</f>
        <v>-</v>
      </c>
      <c r="AD138" s="120" t="str">
        <f>IFERROR(VLOOKUP(T138,'Calibration Standards'!$G$13:$M$23,7,FALSE),"-")</f>
        <v>-</v>
      </c>
      <c r="AE138" s="120" t="str">
        <f>IFERROR(VLOOKUP(U138,'Calibration Standards'!$G$13:$M$23,7,FALSE),"-")</f>
        <v>-</v>
      </c>
      <c r="AF138" s="120">
        <f>IFERROR(VLOOKUP(S138,'Calibration Standards'!$G$13:$O$23,9,FALSE)-VLOOKUP(S138,'Calibration Standards'!$G$13:$O$23,8,FALSE),0)</f>
        <v>0</v>
      </c>
      <c r="AG138" s="120">
        <f>IFERROR(VLOOKUP(T138,'Calibration Standards'!$G$13:$O$23,9,FALSE)-VLOOKUP(T138,'Calibration Standards'!$G$13:$O$23,8,FALSE),0)</f>
        <v>0</v>
      </c>
      <c r="AH138" s="120">
        <f>IFERROR(VLOOKUP(U138,'Calibration Standards'!$G$13:$O$23,9,FALSE)-VLOOKUP(U138,'Calibration Standards'!$G$13:$O$23,8,FALSE),0)</f>
        <v>0</v>
      </c>
      <c r="AI138" s="120">
        <f t="shared" si="93"/>
        <v>0</v>
      </c>
      <c r="AJ138" s="120">
        <f t="shared" si="94"/>
        <v>0</v>
      </c>
      <c r="AK138" s="120">
        <f>IFERROR(VLOOKUP(S138,'Calibration Standards'!$G$13:$Q$23,11,FALSE),0)</f>
        <v>0</v>
      </c>
      <c r="AL138" s="120">
        <f>IFERROR(VLOOKUP(T138,'Calibration Standards'!$G$13:$Q$23,11,FALSE),0)</f>
        <v>0</v>
      </c>
      <c r="AM138" s="120">
        <f>IFERROR(VLOOKUP(U138,'Calibration Standards'!$G$13:$Q$23,11,FALSE),0)</f>
        <v>0</v>
      </c>
      <c r="AN138" s="120">
        <f t="shared" si="95"/>
        <v>0</v>
      </c>
      <c r="AO138" s="120">
        <f t="shared" si="96"/>
        <v>0</v>
      </c>
      <c r="AP138" s="120">
        <f t="shared" si="97"/>
        <v>0</v>
      </c>
      <c r="AQ138" s="120">
        <f t="shared" si="98"/>
        <v>0</v>
      </c>
      <c r="AR138" s="120" t="e">
        <f t="shared" si="76"/>
        <v>#VALUE!</v>
      </c>
      <c r="AS138" s="120" t="e">
        <f t="shared" si="77"/>
        <v>#VALUE!</v>
      </c>
      <c r="AT138" s="126" t="e">
        <f t="shared" si="78"/>
        <v>#VALUE!</v>
      </c>
      <c r="AU138" s="126" t="e">
        <f t="shared" si="99"/>
        <v>#VALUE!</v>
      </c>
      <c r="AV138" s="121" t="e">
        <f t="shared" si="79"/>
        <v>#VALUE!</v>
      </c>
      <c r="AW138" s="122" t="e">
        <f t="shared" si="100"/>
        <v>#VALUE!</v>
      </c>
      <c r="AX138" s="210" t="e">
        <f t="shared" si="101"/>
        <v>#VALUE!</v>
      </c>
      <c r="AY138" s="210" t="e">
        <f t="shared" si="102"/>
        <v>#VALUE!</v>
      </c>
      <c r="AZ138" s="212" t="e">
        <f t="shared" si="103"/>
        <v>#VALUE!</v>
      </c>
      <c r="BA138" s="210" t="e">
        <f t="shared" si="104"/>
        <v>#VALUE!</v>
      </c>
      <c r="BB138" s="178"/>
      <c r="BC138" s="145" t="e">
        <f t="shared" si="80"/>
        <v>#N/A</v>
      </c>
      <c r="BD138" s="147" t="str">
        <f t="shared" si="81"/>
        <v>-</v>
      </c>
      <c r="BE138" s="147" t="str">
        <f t="shared" si="82"/>
        <v>-</v>
      </c>
      <c r="BF138" s="133">
        <v>0.01</v>
      </c>
      <c r="BG138" s="148">
        <v>-0.01</v>
      </c>
    </row>
    <row r="139" spans="1:59" s="14" customFormat="1" x14ac:dyDescent="0.25">
      <c r="A139" s="278" t="s">
        <v>424</v>
      </c>
      <c r="B139" s="88" t="e">
        <f>VLOOKUP(INDEX('Load Test Points'!$A$28:$B$67, MATCH($G$16,'Load Test Points'!$A$28:$A$67,0),2),'Load Test Points'!$A$4:$K$24,11,FALSE)</f>
        <v>#N/A</v>
      </c>
      <c r="C139" s="89" t="str">
        <f>IFERROR(IF(SUM($AC139:$AE139)=0,"-",SUM($AC139:$AE139)),"-")</f>
        <v>-</v>
      </c>
      <c r="D139" s="89"/>
      <c r="E139" s="131" t="str">
        <f>IFERROR((C139-D139)/C139,"-")</f>
        <v>-</v>
      </c>
      <c r="F139" s="209" t="str">
        <f>IFERROR(IF(SUM($AC139:$AE139)=0,"-",SUM($AC139:$AE139)),"-")</f>
        <v>-</v>
      </c>
      <c r="G139" s="89"/>
      <c r="H139" s="131" t="str">
        <f>IFERROR((F139-G139)/F139,"-")</f>
        <v>-</v>
      </c>
      <c r="I139" s="209" t="str">
        <f>IFERROR(IF(SUM($AC139:$AE139)=0,"-",SUM($AC139:$AE139)),"-")</f>
        <v>-</v>
      </c>
      <c r="J139" s="89"/>
      <c r="K139" s="131" t="str">
        <f>IFERROR((I139-J139)/I139,"-")</f>
        <v>-</v>
      </c>
      <c r="L139" s="90" t="str">
        <f t="shared" si="86"/>
        <v>-</v>
      </c>
      <c r="M139" s="127" t="str">
        <f t="shared" si="87"/>
        <v>-</v>
      </c>
      <c r="N139" s="89" t="str">
        <f t="shared" si="88"/>
        <v>-</v>
      </c>
      <c r="O139" s="51" t="str">
        <f t="shared" si="89"/>
        <v>-</v>
      </c>
      <c r="P139" s="51">
        <f t="shared" si="73"/>
        <v>0</v>
      </c>
      <c r="Q139" s="342" t="s">
        <v>301</v>
      </c>
      <c r="R139" s="342"/>
      <c r="S139" s="189" t="str">
        <f>IFERROR(VLOOKUP($B139,'Load Test Points'!$A$70:$D$89,2,FALSE),"-")</f>
        <v>-</v>
      </c>
      <c r="T139" s="189" t="str">
        <f>IFERROR(VLOOKUP($B139,'Load Test Points'!$A$70:$D$89,3,FALSE),"-")</f>
        <v>-</v>
      </c>
      <c r="U139" s="189" t="str">
        <f>IFERROR(VLOOKUP($B139,'Load Test Points'!$A$70:$D$89,4,FALSE),"-")</f>
        <v>-</v>
      </c>
      <c r="V139" s="16"/>
      <c r="W139" s="159" t="e">
        <f t="shared" si="74"/>
        <v>#VALUE!</v>
      </c>
      <c r="X139" s="187" t="str">
        <f t="shared" ref="X139" si="105">IFERROR(W139/P139,"-")</f>
        <v>-</v>
      </c>
      <c r="Y139" s="94"/>
      <c r="Z139" s="123" t="e">
        <f t="shared" si="75"/>
        <v>#VALUE!</v>
      </c>
      <c r="AA139" s="120" t="e">
        <f t="shared" si="91"/>
        <v>#VALUE!</v>
      </c>
      <c r="AB139" s="120" t="e">
        <f t="shared" si="92"/>
        <v>#VALUE!</v>
      </c>
      <c r="AC139" s="120" t="str">
        <f>IFERROR(VLOOKUP(S139,'Calibration Standards'!$G$13:$M$23,7,FALSE),"-")</f>
        <v>-</v>
      </c>
      <c r="AD139" s="120" t="str">
        <f>IFERROR(VLOOKUP(T139,'Calibration Standards'!$G$13:$M$23,7,FALSE),"-")</f>
        <v>-</v>
      </c>
      <c r="AE139" s="120" t="str">
        <f>IFERROR(VLOOKUP(U139,'Calibration Standards'!$G$13:$M$23,7,FALSE),"-")</f>
        <v>-</v>
      </c>
      <c r="AF139" s="120">
        <f>IFERROR(VLOOKUP(S139,'Calibration Standards'!$G$13:$O$23,9,FALSE)-VLOOKUP(S139,'Calibration Standards'!$G$13:$O$23,8,FALSE),0)</f>
        <v>0</v>
      </c>
      <c r="AG139" s="120">
        <f>IFERROR(VLOOKUP(T139,'Calibration Standards'!$G$13:$O$23,9,FALSE)-VLOOKUP(T139,'Calibration Standards'!$G$13:$O$23,8,FALSE),0)</f>
        <v>0</v>
      </c>
      <c r="AH139" s="120">
        <f>IFERROR(VLOOKUP(U139,'Calibration Standards'!$G$13:$O$23,9,FALSE)-VLOOKUP(U139,'Calibration Standards'!$G$13:$O$23,8,FALSE),0)</f>
        <v>0</v>
      </c>
      <c r="AI139" s="120">
        <f t="shared" si="93"/>
        <v>0</v>
      </c>
      <c r="AJ139" s="120">
        <f t="shared" si="94"/>
        <v>0</v>
      </c>
      <c r="AK139" s="120">
        <f>IFERROR(VLOOKUP(S139,'Calibration Standards'!$G$13:$Q$23,11,FALSE),0)</f>
        <v>0</v>
      </c>
      <c r="AL139" s="120">
        <f>IFERROR(VLOOKUP(T139,'Calibration Standards'!$G$13:$Q$23,11,FALSE),0)</f>
        <v>0</v>
      </c>
      <c r="AM139" s="120">
        <f>IFERROR(VLOOKUP(U139,'Calibration Standards'!$G$13:$Q$23,11,FALSE),0)</f>
        <v>0</v>
      </c>
      <c r="AN139" s="120">
        <f t="shared" si="95"/>
        <v>0</v>
      </c>
      <c r="AO139" s="120">
        <f t="shared" si="96"/>
        <v>0</v>
      </c>
      <c r="AP139" s="120">
        <f t="shared" si="97"/>
        <v>0</v>
      </c>
      <c r="AQ139" s="120">
        <f t="shared" si="98"/>
        <v>0</v>
      </c>
      <c r="AR139" s="120" t="e">
        <f t="shared" si="76"/>
        <v>#VALUE!</v>
      </c>
      <c r="AS139" s="120" t="e">
        <f t="shared" si="77"/>
        <v>#VALUE!</v>
      </c>
      <c r="AT139" s="126" t="e">
        <f t="shared" si="78"/>
        <v>#VALUE!</v>
      </c>
      <c r="AU139" s="126" t="e">
        <f t="shared" si="99"/>
        <v>#VALUE!</v>
      </c>
      <c r="AV139" s="121" t="e">
        <f t="shared" si="79"/>
        <v>#VALUE!</v>
      </c>
      <c r="AW139" s="122" t="e">
        <f t="shared" si="100"/>
        <v>#VALUE!</v>
      </c>
      <c r="AX139" s="210" t="e">
        <f t="shared" si="101"/>
        <v>#VALUE!</v>
      </c>
      <c r="AY139" s="210" t="e">
        <f t="shared" si="102"/>
        <v>#VALUE!</v>
      </c>
      <c r="AZ139" s="211" t="e">
        <f t="shared" si="103"/>
        <v>#VALUE!</v>
      </c>
      <c r="BA139" s="210" t="e">
        <f t="shared" si="104"/>
        <v>#VALUE!</v>
      </c>
      <c r="BB139" s="178"/>
      <c r="BC139" s="145" t="e">
        <f t="shared" si="80"/>
        <v>#N/A</v>
      </c>
      <c r="BD139" s="147" t="str">
        <f t="shared" si="81"/>
        <v>-</v>
      </c>
      <c r="BE139" s="147" t="str">
        <f t="shared" si="82"/>
        <v>-</v>
      </c>
      <c r="BF139" s="133">
        <v>0.01</v>
      </c>
      <c r="BG139" s="148">
        <v>-0.01</v>
      </c>
    </row>
    <row r="140" spans="1:59" s="14" customFormat="1" x14ac:dyDescent="0.25">
      <c r="A140" s="276"/>
      <c r="O140" s="16"/>
      <c r="P140" s="16"/>
      <c r="Q140" s="16"/>
      <c r="R140" s="16"/>
      <c r="S140" s="16"/>
      <c r="T140" s="16"/>
      <c r="U140" s="16"/>
      <c r="V140" s="16"/>
      <c r="W140" s="36"/>
      <c r="X140" s="36"/>
      <c r="Y140" s="16"/>
      <c r="Z140" s="16"/>
      <c r="AA140" s="16"/>
      <c r="AX140" s="96"/>
      <c r="AY140" s="96"/>
      <c r="AZ140" s="96"/>
      <c r="BA140" s="96"/>
      <c r="BB140" s="96"/>
      <c r="BC140" s="145"/>
      <c r="BD140" s="16"/>
      <c r="BE140" s="16"/>
      <c r="BF140" s="16"/>
      <c r="BG140" s="146"/>
    </row>
    <row r="141" spans="1:59" s="14" customFormat="1" x14ac:dyDescent="0.25">
      <c r="A141" s="276"/>
      <c r="B141" s="357" t="s">
        <v>343</v>
      </c>
      <c r="C141" s="357"/>
      <c r="D141" s="357"/>
      <c r="E141" s="357"/>
      <c r="F141" s="357"/>
      <c r="G141" s="357"/>
      <c r="H141" s="357"/>
      <c r="I141" s="357"/>
      <c r="J141" s="357"/>
      <c r="K141" s="357"/>
      <c r="L141" s="357"/>
      <c r="M141" s="357"/>
      <c r="N141" s="357"/>
      <c r="O141" s="163"/>
      <c r="P141" s="36"/>
      <c r="Q141" s="36"/>
      <c r="R141" s="36"/>
      <c r="S141" s="36"/>
      <c r="T141" s="36"/>
      <c r="U141" s="36"/>
      <c r="V141" s="36"/>
      <c r="W141" s="36"/>
      <c r="X141" s="36"/>
      <c r="Y141" s="113" t="s">
        <v>242</v>
      </c>
      <c r="Z141" s="92" t="s">
        <v>245</v>
      </c>
      <c r="AA141" s="92" t="s">
        <v>246</v>
      </c>
      <c r="AB141" s="92" t="s">
        <v>246</v>
      </c>
      <c r="AC141" s="203"/>
      <c r="AD141" s="203"/>
      <c r="AE141" s="203"/>
      <c r="AF141" s="203"/>
      <c r="AG141" s="203"/>
      <c r="AH141" s="203"/>
      <c r="AI141" s="203"/>
      <c r="AJ141" s="207" t="s">
        <v>246</v>
      </c>
      <c r="AK141" s="203"/>
      <c r="AL141" s="203"/>
      <c r="AM141" s="203"/>
      <c r="AN141" s="203"/>
      <c r="AO141" s="92"/>
      <c r="AP141" s="92" t="s">
        <v>246</v>
      </c>
      <c r="AQ141" s="92" t="s">
        <v>246</v>
      </c>
      <c r="AR141" s="92" t="s">
        <v>246</v>
      </c>
      <c r="AS141" s="92" t="s">
        <v>246</v>
      </c>
      <c r="AT141" s="93"/>
      <c r="AU141" s="114"/>
      <c r="AV141" s="114"/>
      <c r="AW141" s="114"/>
      <c r="AX141" s="114"/>
      <c r="AY141" s="114"/>
      <c r="AZ141" s="114"/>
      <c r="BA141" s="114"/>
      <c r="BB141" s="176"/>
      <c r="BC141" s="145"/>
      <c r="BD141" s="16"/>
      <c r="BE141" s="16"/>
      <c r="BF141" s="16"/>
      <c r="BG141" s="146"/>
    </row>
    <row r="142" spans="1:59" s="14" customFormat="1" x14ac:dyDescent="0.25">
      <c r="A142" s="276"/>
      <c r="B142" s="15"/>
      <c r="O142" s="36"/>
      <c r="P142" s="36"/>
      <c r="Q142" s="36"/>
      <c r="R142" s="36"/>
      <c r="S142" s="36"/>
      <c r="T142" s="36"/>
      <c r="U142" s="36"/>
      <c r="V142" s="36"/>
      <c r="W142" s="36"/>
      <c r="X142" s="36"/>
      <c r="Y142" s="113" t="s">
        <v>243</v>
      </c>
      <c r="Z142" s="92" t="s">
        <v>247</v>
      </c>
      <c r="AA142" s="92" t="s">
        <v>248</v>
      </c>
      <c r="AB142" s="92" t="s">
        <v>247</v>
      </c>
      <c r="AC142" s="203"/>
      <c r="AD142" s="203"/>
      <c r="AE142" s="203"/>
      <c r="AF142" s="203"/>
      <c r="AG142" s="203"/>
      <c r="AH142" s="203"/>
      <c r="AI142" s="203"/>
      <c r="AJ142" s="207" t="s">
        <v>248</v>
      </c>
      <c r="AK142" s="203"/>
      <c r="AL142" s="203"/>
      <c r="AM142" s="203"/>
      <c r="AN142" s="203"/>
      <c r="AO142" s="92"/>
      <c r="AP142" s="92" t="s">
        <v>248</v>
      </c>
      <c r="AQ142" s="92" t="s">
        <v>248</v>
      </c>
      <c r="AR142" s="92" t="s">
        <v>247</v>
      </c>
      <c r="AS142" s="92" t="s">
        <v>247</v>
      </c>
      <c r="AT142" s="93"/>
      <c r="AU142" s="114"/>
      <c r="AV142" s="114"/>
      <c r="AW142" s="114"/>
      <c r="AX142" s="114"/>
      <c r="AY142" s="114"/>
      <c r="AZ142" s="114"/>
      <c r="BA142" s="114"/>
      <c r="BB142" s="176"/>
      <c r="BC142" s="145"/>
      <c r="BD142" s="16"/>
      <c r="BE142" s="16"/>
      <c r="BF142" s="16"/>
      <c r="BG142" s="146"/>
    </row>
    <row r="143" spans="1:59" s="14" customFormat="1" ht="15" customHeight="1" x14ac:dyDescent="0.25">
      <c r="A143" s="276"/>
      <c r="B143" s="358" t="s">
        <v>49</v>
      </c>
      <c r="C143" s="309" t="s">
        <v>350</v>
      </c>
      <c r="D143" s="360" t="s">
        <v>340</v>
      </c>
      <c r="E143" s="360" t="s">
        <v>50</v>
      </c>
      <c r="F143" s="309" t="s">
        <v>341</v>
      </c>
      <c r="G143" s="360" t="s">
        <v>342</v>
      </c>
      <c r="H143" s="360" t="s">
        <v>51</v>
      </c>
      <c r="I143" s="309" t="s">
        <v>351</v>
      </c>
      <c r="J143" s="360" t="s">
        <v>352</v>
      </c>
      <c r="K143" s="360" t="s">
        <v>52</v>
      </c>
      <c r="L143" s="309" t="s">
        <v>302</v>
      </c>
      <c r="M143" s="360" t="s">
        <v>249</v>
      </c>
      <c r="N143" s="360" t="s">
        <v>353</v>
      </c>
      <c r="O143" s="312" t="s">
        <v>290</v>
      </c>
      <c r="P143" s="312"/>
      <c r="Q143" s="312"/>
      <c r="R143" s="312"/>
      <c r="S143" s="356" t="s">
        <v>357</v>
      </c>
      <c r="T143" s="356"/>
      <c r="U143" s="356"/>
      <c r="V143" s="36"/>
      <c r="W143" s="36"/>
      <c r="X143" s="313" t="s">
        <v>53</v>
      </c>
      <c r="Y143" s="113" t="s">
        <v>244</v>
      </c>
      <c r="Z143" s="92">
        <v>1</v>
      </c>
      <c r="AA143" s="92">
        <v>1.73</v>
      </c>
      <c r="AB143" s="92">
        <v>2</v>
      </c>
      <c r="AC143" s="203"/>
      <c r="AD143" s="203"/>
      <c r="AE143" s="203"/>
      <c r="AF143" s="203"/>
      <c r="AG143" s="203"/>
      <c r="AH143" s="203"/>
      <c r="AI143" s="203"/>
      <c r="AJ143" s="207">
        <v>1.73</v>
      </c>
      <c r="AK143" s="203"/>
      <c r="AL143" s="203"/>
      <c r="AM143" s="203"/>
      <c r="AN143" s="203"/>
      <c r="AO143" s="92"/>
      <c r="AP143" s="92">
        <f>2*1.73</f>
        <v>3.46</v>
      </c>
      <c r="AQ143" s="92">
        <f>2*1.73</f>
        <v>3.46</v>
      </c>
      <c r="AR143" s="92">
        <v>2</v>
      </c>
      <c r="AS143" s="92">
        <v>2</v>
      </c>
      <c r="AT143" s="93"/>
      <c r="AU143" s="114"/>
      <c r="AV143" s="114"/>
      <c r="AW143" s="114"/>
      <c r="AX143" s="114"/>
      <c r="AY143" s="114"/>
      <c r="AZ143" s="114"/>
      <c r="BA143" s="114"/>
      <c r="BB143" s="176"/>
      <c r="BC143" s="145"/>
      <c r="BD143" s="16"/>
      <c r="BE143" s="16"/>
      <c r="BF143" s="16"/>
      <c r="BG143" s="146"/>
    </row>
    <row r="144" spans="1:59" s="14" customFormat="1" ht="22.5" x14ac:dyDescent="0.25">
      <c r="A144" s="276"/>
      <c r="B144" s="359"/>
      <c r="C144" s="310"/>
      <c r="D144" s="361"/>
      <c r="E144" s="361"/>
      <c r="F144" s="310"/>
      <c r="G144" s="361"/>
      <c r="H144" s="361"/>
      <c r="I144" s="310"/>
      <c r="J144" s="361"/>
      <c r="K144" s="361"/>
      <c r="L144" s="310"/>
      <c r="M144" s="361"/>
      <c r="N144" s="361"/>
      <c r="O144" s="167" t="s">
        <v>230</v>
      </c>
      <c r="P144" s="167" t="s">
        <v>231</v>
      </c>
      <c r="Q144" s="389" t="s">
        <v>291</v>
      </c>
      <c r="R144" s="389"/>
      <c r="S144" s="201" t="s">
        <v>335</v>
      </c>
      <c r="T144" s="201" t="s">
        <v>336</v>
      </c>
      <c r="U144" s="201" t="s">
        <v>337</v>
      </c>
      <c r="V144" s="36"/>
      <c r="W144" s="158" t="s">
        <v>372</v>
      </c>
      <c r="X144" s="313"/>
      <c r="Y144" s="115" t="s">
        <v>277</v>
      </c>
      <c r="Z144" s="116"/>
      <c r="AA144" s="117" t="e">
        <f>VLOOKUP($E$36,'Calibration Standards'!$B$8:$K$11,9,FALSE)</f>
        <v>#N/A</v>
      </c>
      <c r="AB144" s="117" t="e">
        <f>VLOOKUP($E$36,'Calibration Standards'!$B$8:$K$11,10,FALSE)</f>
        <v>#N/A</v>
      </c>
      <c r="AC144" s="204"/>
      <c r="AD144" s="204"/>
      <c r="AE144" s="204"/>
      <c r="AF144" s="204"/>
      <c r="AG144" s="204"/>
      <c r="AH144" s="204"/>
      <c r="AI144" s="204"/>
      <c r="AJ144" s="204"/>
      <c r="AK144" s="204"/>
      <c r="AL144" s="204"/>
      <c r="AM144" s="204"/>
      <c r="AN144" s="204"/>
      <c r="AO144" s="117"/>
      <c r="AP144" s="118">
        <f>$G$18</f>
        <v>0</v>
      </c>
      <c r="AQ144" s="118">
        <f>$G$18</f>
        <v>0</v>
      </c>
      <c r="AR144" s="128" t="e">
        <f>0.0008%*ABS(L81-L82)</f>
        <v>#VALUE!</v>
      </c>
      <c r="AS144" s="132">
        <v>1E-4</v>
      </c>
      <c r="AT144" s="116"/>
      <c r="AU144" s="116"/>
      <c r="AV144" s="116"/>
      <c r="AW144" s="116"/>
      <c r="AX144" s="116"/>
      <c r="AY144" s="116"/>
      <c r="AZ144" s="116"/>
      <c r="BA144" s="116"/>
      <c r="BB144" s="177"/>
      <c r="BC144" s="145" t="s">
        <v>49</v>
      </c>
      <c r="BD144" s="144" t="s">
        <v>50</v>
      </c>
      <c r="BE144" s="144" t="s">
        <v>51</v>
      </c>
      <c r="BF144" s="16" t="s">
        <v>288</v>
      </c>
      <c r="BG144" s="146" t="s">
        <v>288</v>
      </c>
    </row>
    <row r="145" spans="1:59" s="14" customFormat="1" x14ac:dyDescent="0.25">
      <c r="A145" s="278" t="s">
        <v>424</v>
      </c>
      <c r="B145" s="88" t="e">
        <f>VLOOKUP(INDEX('Load Test Points'!$A$28:$B$67, MATCH($G$16,'Load Test Points'!$A$28:$A$67,0),2),'Load Test Points'!$A$4:$K$24,2,FALSE)</f>
        <v>#N/A</v>
      </c>
      <c r="C145" s="208" t="str">
        <f>IFERROR(IF(SUM($AC145:$AE145)=0,"-",SUM($AC145:$AE145)),"-")</f>
        <v>-</v>
      </c>
      <c r="D145" s="89"/>
      <c r="E145" s="131" t="str">
        <f t="shared" ref="E145:E153" si="106">IFERROR((C145-D145)/C145,"-")</f>
        <v>-</v>
      </c>
      <c r="F145" s="208" t="str">
        <f>IFERROR(IF(SUM($AC145:$AE145)=0,"-",SUM($AC145:$AE145)),"-")</f>
        <v>-</v>
      </c>
      <c r="G145" s="89"/>
      <c r="H145" s="131" t="str">
        <f t="shared" ref="H145:H153" si="107">IFERROR((F145-G145)/F145,"-")</f>
        <v>-</v>
      </c>
      <c r="I145" s="208" t="str">
        <f>IFERROR(IF(SUM($AC145:$AE145)=0,"-",SUM($AC145:$AE145)),"-")</f>
        <v>-</v>
      </c>
      <c r="J145" s="89"/>
      <c r="K145" s="131" t="str">
        <f t="shared" ref="K145:K153" si="108">IFERROR((I145-J145)/I145,"-")</f>
        <v>-</v>
      </c>
      <c r="L145" s="90" t="str">
        <f>IFERROR(ABS(E145-H145),"-")</f>
        <v>-</v>
      </c>
      <c r="M145" s="127" t="str">
        <f>IFERROR(IF($D$28="Starrett Deadweight",AZ145,AV145),"-")</f>
        <v>-</v>
      </c>
      <c r="N145" s="89" t="str">
        <f>IFERROR(IF($D$28="Starrett Deadweight",BA145,AW145),"-")</f>
        <v>-</v>
      </c>
      <c r="O145" s="51" t="str">
        <f>IFERROR((C145+F145+I145)/3,"-")</f>
        <v>-</v>
      </c>
      <c r="P145" s="51">
        <f t="shared" ref="P145:P154" si="109">(D145+G145+J145)/3</f>
        <v>0</v>
      </c>
      <c r="Q145" s="342" t="s">
        <v>292</v>
      </c>
      <c r="R145" s="342"/>
      <c r="S145" s="189" t="str">
        <f>IFERROR(VLOOKUP($B145,'Load Test Points'!$A$70:$D$89,2,FALSE),"-")</f>
        <v>-</v>
      </c>
      <c r="T145" s="189" t="str">
        <f>IFERROR(VLOOKUP($B145,'Load Test Points'!$A$70:$D$89,3,FALSE),"-")</f>
        <v>-</v>
      </c>
      <c r="U145" s="189" t="str">
        <f>IFERROR(VLOOKUP($B145,'Load Test Points'!$A$70:$D$89,4,FALSE),"-")</f>
        <v>-</v>
      </c>
      <c r="V145" s="16"/>
      <c r="W145" s="159" t="e">
        <f t="shared" ref="W145:W154" si="110">O145-P145</f>
        <v>#VALUE!</v>
      </c>
      <c r="X145" s="187" t="str">
        <f>IFERROR(W145/O145,"-")</f>
        <v>-</v>
      </c>
      <c r="Y145" s="119"/>
      <c r="Z145" s="120" t="e">
        <f t="shared" ref="Z145:Z154" si="111">ABS((X145*O145)/$Z$76)^2</f>
        <v>#VALUE!</v>
      </c>
      <c r="AA145" s="120" t="e">
        <f>((O145*$AA$77)/$AA$76)^2</f>
        <v>#VALUE!</v>
      </c>
      <c r="AB145" s="120" t="e">
        <f>(((O145*$AB$77)/$AB$76)/2)^2</f>
        <v>#VALUE!</v>
      </c>
      <c r="AC145" s="120" t="str">
        <f>IFERROR(VLOOKUP(S145,'Calibration Standards'!$G$13:$M$23,7,FALSE),"-")</f>
        <v>-</v>
      </c>
      <c r="AD145" s="120" t="str">
        <f>IFERROR(VLOOKUP(T145,'Calibration Standards'!$G$13:$M$23,7,FALSE),"-")</f>
        <v>-</v>
      </c>
      <c r="AE145" s="120" t="str">
        <f>IFERROR(VLOOKUP(U145,'Calibration Standards'!$G$13:$M$23,7,FALSE),"-")</f>
        <v>-</v>
      </c>
      <c r="AF145" s="120">
        <f>IFERROR(VLOOKUP(S145,'Calibration Standards'!$G$13:$O$23,9,FALSE)-VLOOKUP(S145,'Calibration Standards'!$G$13:$O$23,8,FALSE),0)</f>
        <v>0</v>
      </c>
      <c r="AG145" s="120">
        <f>IFERROR(VLOOKUP(T145,'Calibration Standards'!$G$13:$O$23,9,FALSE)-VLOOKUP(T145,'Calibration Standards'!$G$13:$O$23,8,FALSE),0)</f>
        <v>0</v>
      </c>
      <c r="AH145" s="120">
        <f>IFERROR(VLOOKUP(U145,'Calibration Standards'!$G$13:$O$23,9,FALSE)-VLOOKUP(U145,'Calibration Standards'!$G$13:$O$23,8,FALSE),0)</f>
        <v>0</v>
      </c>
      <c r="AI145" s="120">
        <f>SUM(AF145:AH145)</f>
        <v>0</v>
      </c>
      <c r="AJ145" s="120">
        <f>(AI145/$AJ$76)^2</f>
        <v>0</v>
      </c>
      <c r="AK145" s="120">
        <f>IFERROR(VLOOKUP(S145,'Calibration Standards'!$G$13:$Q$23,11,FALSE),0)</f>
        <v>0</v>
      </c>
      <c r="AL145" s="120">
        <f>IFERROR(VLOOKUP(T145,'Calibration Standards'!$G$13:$Q$23,11,FALSE),0)</f>
        <v>0</v>
      </c>
      <c r="AM145" s="120">
        <f>IFERROR(VLOOKUP(U145,'Calibration Standards'!$G$13:$Q$23,11,FALSE),0)</f>
        <v>0</v>
      </c>
      <c r="AN145" s="120">
        <f>SUM(AK145:AM145)</f>
        <v>0</v>
      </c>
      <c r="AO145" s="120"/>
      <c r="AP145" s="120">
        <f>$AP$77/$AP$76</f>
        <v>0</v>
      </c>
      <c r="AQ145" s="120">
        <f>$AQ$77/$AQ$76</f>
        <v>0</v>
      </c>
      <c r="AR145" s="120" t="e">
        <f t="shared" ref="AR145:AR154" si="112">((O145*$AR$77)/$AR$76)^2</f>
        <v>#VALUE!</v>
      </c>
      <c r="AS145" s="120" t="e">
        <f t="shared" ref="AS145:AS154" si="113">(O145*$AS$77)/$AS$76</f>
        <v>#VALUE!</v>
      </c>
      <c r="AT145" s="126" t="e">
        <f t="shared" ref="AT145:AT154" si="114">SUM(Z145:AB145,AP145:AS145)</f>
        <v>#VALUE!</v>
      </c>
      <c r="AU145" s="126" t="e">
        <f>SQRT(AT145)</f>
        <v>#VALUE!</v>
      </c>
      <c r="AV145" s="121" t="e">
        <f t="shared" ref="AV145:AV154" si="115">AW145/O145</f>
        <v>#VALUE!</v>
      </c>
      <c r="AW145" s="122" t="e">
        <f>AU145*2</f>
        <v>#VALUE!</v>
      </c>
      <c r="AX145" s="210" t="e">
        <f>SUM(Z145,AJ145,AO145,AP145,AQ145,AR145,AS145)</f>
        <v>#VALUE!</v>
      </c>
      <c r="AY145" s="210" t="e">
        <f>SQRT(AX145)</f>
        <v>#VALUE!</v>
      </c>
      <c r="AZ145" s="212" t="e">
        <f>AY145/O145</f>
        <v>#VALUE!</v>
      </c>
      <c r="BA145" s="210" t="e">
        <f>AY145*2</f>
        <v>#VALUE!</v>
      </c>
      <c r="BB145" s="178"/>
      <c r="BC145" s="145" t="str">
        <f>IFERROR(B154,"-")</f>
        <v>-</v>
      </c>
      <c r="BD145" s="149" t="str">
        <f>E154</f>
        <v>-</v>
      </c>
      <c r="BE145" s="147" t="str">
        <f>H154</f>
        <v>-</v>
      </c>
      <c r="BF145" s="133">
        <v>0.01</v>
      </c>
      <c r="BG145" s="148">
        <v>-0.01</v>
      </c>
    </row>
    <row r="146" spans="1:59" s="14" customFormat="1" x14ac:dyDescent="0.25">
      <c r="A146" s="278" t="s">
        <v>424</v>
      </c>
      <c r="B146" s="88" t="e">
        <f>VLOOKUP(INDEX('Load Test Points'!$A$28:$B$67, MATCH($G$16,'Load Test Points'!$A$28:$A$67,0),2),'Load Test Points'!$A$4:$K$24,3,FALSE)</f>
        <v>#N/A</v>
      </c>
      <c r="C146" s="209" t="str">
        <f t="shared" ref="C146:C153" si="116">IFERROR(IF(SUM($AC146:$AE146)=0,"-",SUM($AC146:$AE146)),"-")</f>
        <v>-</v>
      </c>
      <c r="D146" s="89"/>
      <c r="E146" s="131" t="str">
        <f t="shared" si="106"/>
        <v>-</v>
      </c>
      <c r="F146" s="209" t="str">
        <f t="shared" ref="F146:F153" si="117">IFERROR(IF(SUM($AC146:$AE146)=0,"-",SUM($AC146:$AE146)),"-")</f>
        <v>-</v>
      </c>
      <c r="G146" s="89"/>
      <c r="H146" s="131" t="str">
        <f t="shared" si="107"/>
        <v>-</v>
      </c>
      <c r="I146" s="209" t="str">
        <f t="shared" ref="I146:I153" si="118">IFERROR(IF(SUM($AC146:$AE146)=0,"-",SUM($AC146:$AE146)),"-")</f>
        <v>-</v>
      </c>
      <c r="J146" s="89"/>
      <c r="K146" s="131" t="str">
        <f t="shared" si="108"/>
        <v>-</v>
      </c>
      <c r="L146" s="90" t="str">
        <f t="shared" ref="L146:L154" si="119">IFERROR(ABS(E146-H146),"-")</f>
        <v>-</v>
      </c>
      <c r="M146" s="127" t="str">
        <f t="shared" ref="M146:M154" si="120">IFERROR(IF($D$28="Starrett Deadweight",AZ146,AV146),"-")</f>
        <v>-</v>
      </c>
      <c r="N146" s="89" t="str">
        <f t="shared" ref="N146:N154" si="121">IFERROR(IF($D$28="Starrett Deadweight",BA146,AW146),"-")</f>
        <v>-</v>
      </c>
      <c r="O146" s="51" t="str">
        <f t="shared" ref="O146:O154" si="122">IFERROR((C146+F146+I146)/3,"-")</f>
        <v>-</v>
      </c>
      <c r="P146" s="51">
        <f t="shared" si="109"/>
        <v>0</v>
      </c>
      <c r="Q146" s="342" t="s">
        <v>293</v>
      </c>
      <c r="R146" s="342"/>
      <c r="S146" s="189" t="str">
        <f>IFERROR(VLOOKUP($B146,'Load Test Points'!$A$70:$D$89,2,FALSE),"-")</f>
        <v>-</v>
      </c>
      <c r="T146" s="189" t="str">
        <f>IFERROR(VLOOKUP($B146,'Load Test Points'!$A$70:$D$89,3,FALSE),"-")</f>
        <v>-</v>
      </c>
      <c r="U146" s="189" t="str">
        <f>IFERROR(VLOOKUP($B146,'Load Test Points'!$A$70:$D$89,4,FALSE),"-")</f>
        <v>-</v>
      </c>
      <c r="V146" s="16"/>
      <c r="W146" s="159" t="e">
        <f t="shared" si="110"/>
        <v>#VALUE!</v>
      </c>
      <c r="X146" s="187" t="str">
        <f t="shared" ref="X146:X153" si="123">IFERROR(W146/O146,"-")</f>
        <v>-</v>
      </c>
      <c r="Y146" s="119"/>
      <c r="Z146" s="120" t="e">
        <f t="shared" si="111"/>
        <v>#VALUE!</v>
      </c>
      <c r="AA146" s="120" t="e">
        <f t="shared" ref="AA146:AA154" si="124">((O146*$AA$77)/$AA$76)^2</f>
        <v>#VALUE!</v>
      </c>
      <c r="AB146" s="120" t="e">
        <f t="shared" ref="AB146:AB154" si="125">(((O146*$AB$77)/$AB$76)/2)^2</f>
        <v>#VALUE!</v>
      </c>
      <c r="AC146" s="120" t="str">
        <f>IFERROR(VLOOKUP(S146,'Calibration Standards'!$G$13:$M$23,7,FALSE),"-")</f>
        <v>-</v>
      </c>
      <c r="AD146" s="120" t="str">
        <f>IFERROR(VLOOKUP(T146,'Calibration Standards'!$G$13:$M$23,7,FALSE),"-")</f>
        <v>-</v>
      </c>
      <c r="AE146" s="120" t="str">
        <f>IFERROR(VLOOKUP(U146,'Calibration Standards'!$G$13:$M$23,7,FALSE),"-")</f>
        <v>-</v>
      </c>
      <c r="AF146" s="120">
        <f>IFERROR(VLOOKUP(S146,'Calibration Standards'!$G$13:$O$23,9,FALSE)-VLOOKUP(S146,'Calibration Standards'!$G$13:$O$23,8,FALSE),0)</f>
        <v>0</v>
      </c>
      <c r="AG146" s="120">
        <f>IFERROR(VLOOKUP(T146,'Calibration Standards'!$G$13:$O$23,9,FALSE)-VLOOKUP(T146,'Calibration Standards'!$G$13:$O$23,8,FALSE),0)</f>
        <v>0</v>
      </c>
      <c r="AH146" s="120">
        <f>IFERROR(VLOOKUP(U146,'Calibration Standards'!$G$13:$O$23,9,FALSE)-VLOOKUP(U146,'Calibration Standards'!$G$13:$O$23,8,FALSE),0)</f>
        <v>0</v>
      </c>
      <c r="AI146" s="120">
        <f t="shared" ref="AI146:AI154" si="126">SUM(AF146:AH146)</f>
        <v>0</v>
      </c>
      <c r="AJ146" s="120">
        <f t="shared" ref="AJ146:AJ154" si="127">(AI146/$AJ$76)^2</f>
        <v>0</v>
      </c>
      <c r="AK146" s="120">
        <f>IFERROR(VLOOKUP(S146,'Calibration Standards'!$G$13:$Q$23,11,FALSE),0)</f>
        <v>0</v>
      </c>
      <c r="AL146" s="120">
        <f>IFERROR(VLOOKUP(T146,'Calibration Standards'!$G$13:$Q$23,11,FALSE),0)</f>
        <v>0</v>
      </c>
      <c r="AM146" s="120">
        <f>IFERROR(VLOOKUP(U146,'Calibration Standards'!$G$13:$Q$23,11,FALSE),0)</f>
        <v>0</v>
      </c>
      <c r="AN146" s="120">
        <f t="shared" ref="AN146:AN154" si="128">SUM(AK146:AM146)</f>
        <v>0</v>
      </c>
      <c r="AO146" s="120"/>
      <c r="AP146" s="120">
        <f t="shared" ref="AP146:AP154" si="129">$AP$77/$AP$76</f>
        <v>0</v>
      </c>
      <c r="AQ146" s="120">
        <f t="shared" ref="AQ146:AQ154" si="130">$AQ$77/$AQ$76</f>
        <v>0</v>
      </c>
      <c r="AR146" s="120" t="e">
        <f t="shared" si="112"/>
        <v>#VALUE!</v>
      </c>
      <c r="AS146" s="120" t="e">
        <f t="shared" si="113"/>
        <v>#VALUE!</v>
      </c>
      <c r="AT146" s="126" t="e">
        <f t="shared" si="114"/>
        <v>#VALUE!</v>
      </c>
      <c r="AU146" s="126" t="e">
        <f t="shared" ref="AU146:AU154" si="131">SQRT(AT146)</f>
        <v>#VALUE!</v>
      </c>
      <c r="AV146" s="121" t="e">
        <f t="shared" si="115"/>
        <v>#VALUE!</v>
      </c>
      <c r="AW146" s="122" t="e">
        <f t="shared" ref="AW146:AW154" si="132">AU146*2</f>
        <v>#VALUE!</v>
      </c>
      <c r="AX146" s="210" t="e">
        <f t="shared" ref="AX146:AX154" si="133">SUM(Z146,AJ146,AO146,AP146,AQ146,AR146,AS146)</f>
        <v>#VALUE!</v>
      </c>
      <c r="AY146" s="210" t="e">
        <f t="shared" ref="AY146:AY154" si="134">SQRT(AX146)</f>
        <v>#VALUE!</v>
      </c>
      <c r="AZ146" s="212" t="e">
        <f t="shared" ref="AZ146:AZ154" si="135">AY146/O146</f>
        <v>#VALUE!</v>
      </c>
      <c r="BA146" s="210" t="e">
        <f t="shared" ref="BA146:BA154" si="136">AY146*2</f>
        <v>#VALUE!</v>
      </c>
      <c r="BB146" s="178"/>
      <c r="BC146" s="145" t="str">
        <f>IFERROR(B153,"-")</f>
        <v>-</v>
      </c>
      <c r="BD146" s="149" t="str">
        <f>E153</f>
        <v>-</v>
      </c>
      <c r="BE146" s="147" t="str">
        <f>H153</f>
        <v>-</v>
      </c>
      <c r="BF146" s="133">
        <v>0.01</v>
      </c>
      <c r="BG146" s="148">
        <v>-0.01</v>
      </c>
    </row>
    <row r="147" spans="1:59" s="14" customFormat="1" x14ac:dyDescent="0.25">
      <c r="A147" s="278" t="s">
        <v>424</v>
      </c>
      <c r="B147" s="88" t="e">
        <f>VLOOKUP(INDEX('Load Test Points'!$A$28:$B$67, MATCH($G$16,'Load Test Points'!$A$28:$A$67,0),2),'Load Test Points'!$A$4:$K$24,4,FALSE)</f>
        <v>#N/A</v>
      </c>
      <c r="C147" s="209" t="str">
        <f t="shared" si="116"/>
        <v>-</v>
      </c>
      <c r="D147" s="89"/>
      <c r="E147" s="131" t="str">
        <f t="shared" si="106"/>
        <v>-</v>
      </c>
      <c r="F147" s="209" t="str">
        <f t="shared" si="117"/>
        <v>-</v>
      </c>
      <c r="G147" s="89"/>
      <c r="H147" s="131" t="str">
        <f t="shared" si="107"/>
        <v>-</v>
      </c>
      <c r="I147" s="209" t="str">
        <f t="shared" si="118"/>
        <v>-</v>
      </c>
      <c r="J147" s="89"/>
      <c r="K147" s="131" t="str">
        <f t="shared" si="108"/>
        <v>-</v>
      </c>
      <c r="L147" s="90" t="str">
        <f t="shared" si="119"/>
        <v>-</v>
      </c>
      <c r="M147" s="127" t="str">
        <f t="shared" si="120"/>
        <v>-</v>
      </c>
      <c r="N147" s="89" t="str">
        <f t="shared" si="121"/>
        <v>-</v>
      </c>
      <c r="O147" s="51" t="str">
        <f t="shared" si="122"/>
        <v>-</v>
      </c>
      <c r="P147" s="51">
        <f t="shared" si="109"/>
        <v>0</v>
      </c>
      <c r="Q147" s="342" t="s">
        <v>294</v>
      </c>
      <c r="R147" s="342"/>
      <c r="S147" s="189" t="str">
        <f>IFERROR(VLOOKUP($B147,'Load Test Points'!$A$70:$D$89,2,FALSE),"-")</f>
        <v>-</v>
      </c>
      <c r="T147" s="189" t="str">
        <f>IFERROR(VLOOKUP($B147,'Load Test Points'!$A$70:$D$89,3,FALSE),"-")</f>
        <v>-</v>
      </c>
      <c r="U147" s="189" t="str">
        <f>IFERROR(VLOOKUP($B147,'Load Test Points'!$A$70:$D$89,4,FALSE),"-")</f>
        <v>-</v>
      </c>
      <c r="V147" s="16"/>
      <c r="W147" s="159" t="e">
        <f t="shared" si="110"/>
        <v>#VALUE!</v>
      </c>
      <c r="X147" s="187" t="str">
        <f t="shared" si="123"/>
        <v>-</v>
      </c>
      <c r="Y147" s="119"/>
      <c r="Z147" s="120" t="e">
        <f t="shared" si="111"/>
        <v>#VALUE!</v>
      </c>
      <c r="AA147" s="120" t="e">
        <f t="shared" si="124"/>
        <v>#VALUE!</v>
      </c>
      <c r="AB147" s="120" t="e">
        <f t="shared" si="125"/>
        <v>#VALUE!</v>
      </c>
      <c r="AC147" s="120" t="str">
        <f>IFERROR(VLOOKUP(S147,'Calibration Standards'!$G$13:$M$23,7,FALSE),"-")</f>
        <v>-</v>
      </c>
      <c r="AD147" s="120" t="str">
        <f>IFERROR(VLOOKUP(T147,'Calibration Standards'!$G$13:$M$23,7,FALSE),"-")</f>
        <v>-</v>
      </c>
      <c r="AE147" s="120" t="str">
        <f>IFERROR(VLOOKUP(U147,'Calibration Standards'!$G$13:$M$23,7,FALSE),"-")</f>
        <v>-</v>
      </c>
      <c r="AF147" s="120">
        <f>IFERROR(VLOOKUP(S147,'Calibration Standards'!$G$13:$O$23,9,FALSE)-VLOOKUP(S147,'Calibration Standards'!$G$13:$O$23,8,FALSE),0)</f>
        <v>0</v>
      </c>
      <c r="AG147" s="120">
        <f>IFERROR(VLOOKUP(T147,'Calibration Standards'!$G$13:$O$23,9,FALSE)-VLOOKUP(T147,'Calibration Standards'!$G$13:$O$23,8,FALSE),0)</f>
        <v>0</v>
      </c>
      <c r="AH147" s="120">
        <f>IFERROR(VLOOKUP(U147,'Calibration Standards'!$G$13:$O$23,9,FALSE)-VLOOKUP(U147,'Calibration Standards'!$G$13:$O$23,8,FALSE),0)</f>
        <v>0</v>
      </c>
      <c r="AI147" s="120">
        <f t="shared" si="126"/>
        <v>0</v>
      </c>
      <c r="AJ147" s="120">
        <f t="shared" si="127"/>
        <v>0</v>
      </c>
      <c r="AK147" s="120">
        <f>IFERROR(VLOOKUP(S147,'Calibration Standards'!$G$13:$Q$23,11,FALSE),0)</f>
        <v>0</v>
      </c>
      <c r="AL147" s="120">
        <f>IFERROR(VLOOKUP(T147,'Calibration Standards'!$G$13:$Q$23,11,FALSE),0)</f>
        <v>0</v>
      </c>
      <c r="AM147" s="120">
        <f>IFERROR(VLOOKUP(U147,'Calibration Standards'!$G$13:$Q$23,11,FALSE),0)</f>
        <v>0</v>
      </c>
      <c r="AN147" s="120">
        <f t="shared" si="128"/>
        <v>0</v>
      </c>
      <c r="AO147" s="120"/>
      <c r="AP147" s="120">
        <f t="shared" si="129"/>
        <v>0</v>
      </c>
      <c r="AQ147" s="120">
        <f t="shared" si="130"/>
        <v>0</v>
      </c>
      <c r="AR147" s="120" t="e">
        <f t="shared" si="112"/>
        <v>#VALUE!</v>
      </c>
      <c r="AS147" s="120" t="e">
        <f t="shared" si="113"/>
        <v>#VALUE!</v>
      </c>
      <c r="AT147" s="126" t="e">
        <f t="shared" si="114"/>
        <v>#VALUE!</v>
      </c>
      <c r="AU147" s="126" t="e">
        <f t="shared" si="131"/>
        <v>#VALUE!</v>
      </c>
      <c r="AV147" s="121" t="e">
        <f t="shared" si="115"/>
        <v>#VALUE!</v>
      </c>
      <c r="AW147" s="122" t="e">
        <f t="shared" si="132"/>
        <v>#VALUE!</v>
      </c>
      <c r="AX147" s="210" t="e">
        <f t="shared" si="133"/>
        <v>#VALUE!</v>
      </c>
      <c r="AY147" s="210" t="e">
        <f t="shared" si="134"/>
        <v>#VALUE!</v>
      </c>
      <c r="AZ147" s="212" t="e">
        <f t="shared" si="135"/>
        <v>#VALUE!</v>
      </c>
      <c r="BA147" s="210" t="e">
        <f t="shared" si="136"/>
        <v>#VALUE!</v>
      </c>
      <c r="BB147" s="178"/>
      <c r="BC147" s="145" t="str">
        <f>IFERROR(B152,"-")</f>
        <v>-</v>
      </c>
      <c r="BD147" s="149" t="str">
        <f>E152</f>
        <v>-</v>
      </c>
      <c r="BE147" s="147" t="str">
        <f>H152</f>
        <v>-</v>
      </c>
      <c r="BF147" s="133">
        <v>0.01</v>
      </c>
      <c r="BG147" s="148">
        <v>-0.01</v>
      </c>
    </row>
    <row r="148" spans="1:59" s="14" customFormat="1" x14ac:dyDescent="0.25">
      <c r="A148" s="278" t="s">
        <v>424</v>
      </c>
      <c r="B148" s="88" t="e">
        <f>VLOOKUP(INDEX('Load Test Points'!$A$28:$B$67, MATCH($G$16,'Load Test Points'!$A$28:$A$67,0),2),'Load Test Points'!$A$4:$K$24,5,FALSE)</f>
        <v>#N/A</v>
      </c>
      <c r="C148" s="209" t="str">
        <f t="shared" si="116"/>
        <v>-</v>
      </c>
      <c r="D148" s="89"/>
      <c r="E148" s="131" t="str">
        <f t="shared" si="106"/>
        <v>-</v>
      </c>
      <c r="F148" s="209" t="str">
        <f t="shared" si="117"/>
        <v>-</v>
      </c>
      <c r="G148" s="89"/>
      <c r="H148" s="131" t="str">
        <f t="shared" si="107"/>
        <v>-</v>
      </c>
      <c r="I148" s="209" t="str">
        <f t="shared" si="118"/>
        <v>-</v>
      </c>
      <c r="J148" s="89"/>
      <c r="K148" s="131" t="str">
        <f t="shared" si="108"/>
        <v>-</v>
      </c>
      <c r="L148" s="90" t="str">
        <f t="shared" si="119"/>
        <v>-</v>
      </c>
      <c r="M148" s="127" t="str">
        <f t="shared" si="120"/>
        <v>-</v>
      </c>
      <c r="N148" s="89" t="str">
        <f t="shared" si="121"/>
        <v>-</v>
      </c>
      <c r="O148" s="51" t="str">
        <f t="shared" si="122"/>
        <v>-</v>
      </c>
      <c r="P148" s="51">
        <f t="shared" si="109"/>
        <v>0</v>
      </c>
      <c r="Q148" s="342" t="s">
        <v>295</v>
      </c>
      <c r="R148" s="342"/>
      <c r="S148" s="189" t="str">
        <f>IFERROR(VLOOKUP($B148,'Load Test Points'!$A$70:$D$89,2,FALSE),"-")</f>
        <v>-</v>
      </c>
      <c r="T148" s="189" t="str">
        <f>IFERROR(VLOOKUP($B148,'Load Test Points'!$A$70:$D$89,3,FALSE),"-")</f>
        <v>-</v>
      </c>
      <c r="U148" s="189" t="str">
        <f>IFERROR(VLOOKUP($B148,'Load Test Points'!$A$70:$D$89,4,FALSE),"-")</f>
        <v>-</v>
      </c>
      <c r="V148" s="16"/>
      <c r="W148" s="159" t="e">
        <f t="shared" si="110"/>
        <v>#VALUE!</v>
      </c>
      <c r="X148" s="187" t="str">
        <f t="shared" si="123"/>
        <v>-</v>
      </c>
      <c r="Y148" s="119"/>
      <c r="Z148" s="120" t="e">
        <f t="shared" si="111"/>
        <v>#VALUE!</v>
      </c>
      <c r="AA148" s="120" t="e">
        <f t="shared" si="124"/>
        <v>#VALUE!</v>
      </c>
      <c r="AB148" s="120" t="e">
        <f t="shared" si="125"/>
        <v>#VALUE!</v>
      </c>
      <c r="AC148" s="120" t="str">
        <f>IFERROR(VLOOKUP(S148,'Calibration Standards'!$G$13:$M$23,7,FALSE),"-")</f>
        <v>-</v>
      </c>
      <c r="AD148" s="120" t="str">
        <f>IFERROR(VLOOKUP(T148,'Calibration Standards'!$G$13:$M$23,7,FALSE),"-")</f>
        <v>-</v>
      </c>
      <c r="AE148" s="120" t="str">
        <f>IFERROR(VLOOKUP(U148,'Calibration Standards'!$G$13:$M$23,7,FALSE),"-")</f>
        <v>-</v>
      </c>
      <c r="AF148" s="120">
        <f>IFERROR(VLOOKUP(S148,'Calibration Standards'!$G$13:$O$23,9,FALSE)-VLOOKUP(S148,'Calibration Standards'!$G$13:$O$23,8,FALSE),0)</f>
        <v>0</v>
      </c>
      <c r="AG148" s="120">
        <f>IFERROR(VLOOKUP(T148,'Calibration Standards'!$G$13:$O$23,9,FALSE)-VLOOKUP(T148,'Calibration Standards'!$G$13:$O$23,8,FALSE),0)</f>
        <v>0</v>
      </c>
      <c r="AH148" s="120">
        <f>IFERROR(VLOOKUP(U148,'Calibration Standards'!$G$13:$O$23,9,FALSE)-VLOOKUP(U148,'Calibration Standards'!$G$13:$O$23,8,FALSE),0)</f>
        <v>0</v>
      </c>
      <c r="AI148" s="120">
        <f t="shared" si="126"/>
        <v>0</v>
      </c>
      <c r="AJ148" s="120">
        <f t="shared" si="127"/>
        <v>0</v>
      </c>
      <c r="AK148" s="120">
        <f>IFERROR(VLOOKUP(S148,'Calibration Standards'!$G$13:$Q$23,11,FALSE),0)</f>
        <v>0</v>
      </c>
      <c r="AL148" s="120">
        <f>IFERROR(VLOOKUP(T148,'Calibration Standards'!$G$13:$Q$23,11,FALSE),0)</f>
        <v>0</v>
      </c>
      <c r="AM148" s="120">
        <f>IFERROR(VLOOKUP(U148,'Calibration Standards'!$G$13:$Q$23,11,FALSE),0)</f>
        <v>0</v>
      </c>
      <c r="AN148" s="120">
        <f t="shared" si="128"/>
        <v>0</v>
      </c>
      <c r="AO148" s="120"/>
      <c r="AP148" s="120">
        <f t="shared" si="129"/>
        <v>0</v>
      </c>
      <c r="AQ148" s="120">
        <f t="shared" si="130"/>
        <v>0</v>
      </c>
      <c r="AR148" s="120" t="e">
        <f t="shared" si="112"/>
        <v>#VALUE!</v>
      </c>
      <c r="AS148" s="120" t="e">
        <f t="shared" si="113"/>
        <v>#VALUE!</v>
      </c>
      <c r="AT148" s="126" t="e">
        <f t="shared" si="114"/>
        <v>#VALUE!</v>
      </c>
      <c r="AU148" s="126" t="e">
        <f t="shared" si="131"/>
        <v>#VALUE!</v>
      </c>
      <c r="AV148" s="121" t="e">
        <f t="shared" si="115"/>
        <v>#VALUE!</v>
      </c>
      <c r="AW148" s="122" t="e">
        <f t="shared" si="132"/>
        <v>#VALUE!</v>
      </c>
      <c r="AX148" s="210" t="e">
        <f t="shared" si="133"/>
        <v>#VALUE!</v>
      </c>
      <c r="AY148" s="210" t="e">
        <f t="shared" si="134"/>
        <v>#VALUE!</v>
      </c>
      <c r="AZ148" s="212" t="e">
        <f t="shared" si="135"/>
        <v>#VALUE!</v>
      </c>
      <c r="BA148" s="210" t="e">
        <f t="shared" si="136"/>
        <v>#VALUE!</v>
      </c>
      <c r="BB148" s="178"/>
      <c r="BC148" s="145" t="str">
        <f>IFERROR(B151,"-")</f>
        <v>-</v>
      </c>
      <c r="BD148" s="149" t="str">
        <f>E151</f>
        <v>-</v>
      </c>
      <c r="BE148" s="147" t="str">
        <f>H151</f>
        <v>-</v>
      </c>
      <c r="BF148" s="133">
        <v>0.01</v>
      </c>
      <c r="BG148" s="148">
        <v>-0.01</v>
      </c>
    </row>
    <row r="149" spans="1:59" s="14" customFormat="1" x14ac:dyDescent="0.25">
      <c r="A149" s="278" t="s">
        <v>424</v>
      </c>
      <c r="B149" s="88" t="e">
        <f>VLOOKUP(INDEX('Load Test Points'!$A$28:$B$67, MATCH($G$16,'Load Test Points'!$A$28:$A$67,0),2),'Load Test Points'!$A$4:$K$24,6,FALSE)</f>
        <v>#N/A</v>
      </c>
      <c r="C149" s="209" t="str">
        <f t="shared" si="116"/>
        <v>-</v>
      </c>
      <c r="D149" s="89"/>
      <c r="E149" s="131" t="str">
        <f t="shared" si="106"/>
        <v>-</v>
      </c>
      <c r="F149" s="209" t="str">
        <f t="shared" si="117"/>
        <v>-</v>
      </c>
      <c r="G149" s="89"/>
      <c r="H149" s="131" t="str">
        <f t="shared" si="107"/>
        <v>-</v>
      </c>
      <c r="I149" s="209" t="str">
        <f t="shared" si="118"/>
        <v>-</v>
      </c>
      <c r="J149" s="89"/>
      <c r="K149" s="131" t="str">
        <f t="shared" si="108"/>
        <v>-</v>
      </c>
      <c r="L149" s="90" t="str">
        <f t="shared" si="119"/>
        <v>-</v>
      </c>
      <c r="M149" s="127" t="str">
        <f t="shared" si="120"/>
        <v>-</v>
      </c>
      <c r="N149" s="89" t="str">
        <f t="shared" si="121"/>
        <v>-</v>
      </c>
      <c r="O149" s="51" t="str">
        <f t="shared" si="122"/>
        <v>-</v>
      </c>
      <c r="P149" s="51">
        <f t="shared" si="109"/>
        <v>0</v>
      </c>
      <c r="Q149" s="342" t="s">
        <v>296</v>
      </c>
      <c r="R149" s="342"/>
      <c r="S149" s="189" t="str">
        <f>IFERROR(VLOOKUP($B149,'Load Test Points'!$A$70:$D$89,2,FALSE),"-")</f>
        <v>-</v>
      </c>
      <c r="T149" s="189" t="str">
        <f>IFERROR(VLOOKUP($B149,'Load Test Points'!$A$70:$D$89,3,FALSE),"-")</f>
        <v>-</v>
      </c>
      <c r="U149" s="189" t="str">
        <f>IFERROR(VLOOKUP($B149,'Load Test Points'!$A$70:$D$89,4,FALSE),"-")</f>
        <v>-</v>
      </c>
      <c r="V149" s="16"/>
      <c r="W149" s="159" t="e">
        <f t="shared" si="110"/>
        <v>#VALUE!</v>
      </c>
      <c r="X149" s="187" t="str">
        <f t="shared" si="123"/>
        <v>-</v>
      </c>
      <c r="Y149" s="119"/>
      <c r="Z149" s="120" t="e">
        <f t="shared" si="111"/>
        <v>#VALUE!</v>
      </c>
      <c r="AA149" s="120" t="e">
        <f t="shared" si="124"/>
        <v>#VALUE!</v>
      </c>
      <c r="AB149" s="120" t="e">
        <f t="shared" si="125"/>
        <v>#VALUE!</v>
      </c>
      <c r="AC149" s="120" t="str">
        <f>IFERROR(VLOOKUP(S149,'Calibration Standards'!$G$13:$M$23,7,FALSE),"-")</f>
        <v>-</v>
      </c>
      <c r="AD149" s="120" t="str">
        <f>IFERROR(VLOOKUP(T149,'Calibration Standards'!$G$13:$M$23,7,FALSE),"-")</f>
        <v>-</v>
      </c>
      <c r="AE149" s="120" t="str">
        <f>IFERROR(VLOOKUP(U149,'Calibration Standards'!$G$13:$M$23,7,FALSE),"-")</f>
        <v>-</v>
      </c>
      <c r="AF149" s="120">
        <f>IFERROR(VLOOKUP(S149,'Calibration Standards'!$G$13:$O$23,9,FALSE)-VLOOKUP(S149,'Calibration Standards'!$G$13:$O$23,8,FALSE),0)</f>
        <v>0</v>
      </c>
      <c r="AG149" s="120">
        <f>IFERROR(VLOOKUP(T149,'Calibration Standards'!$G$13:$O$23,9,FALSE)-VLOOKUP(T149,'Calibration Standards'!$G$13:$O$23,8,FALSE),0)</f>
        <v>0</v>
      </c>
      <c r="AH149" s="120">
        <f>IFERROR(VLOOKUP(U149,'Calibration Standards'!$G$13:$O$23,9,FALSE)-VLOOKUP(U149,'Calibration Standards'!$G$13:$O$23,8,FALSE),0)</f>
        <v>0</v>
      </c>
      <c r="AI149" s="120">
        <f t="shared" si="126"/>
        <v>0</v>
      </c>
      <c r="AJ149" s="120">
        <f t="shared" si="127"/>
        <v>0</v>
      </c>
      <c r="AK149" s="120">
        <f>IFERROR(VLOOKUP(S149,'Calibration Standards'!$G$13:$Q$23,11,FALSE),0)</f>
        <v>0</v>
      </c>
      <c r="AL149" s="120">
        <f>IFERROR(VLOOKUP(T149,'Calibration Standards'!$G$13:$Q$23,11,FALSE),0)</f>
        <v>0</v>
      </c>
      <c r="AM149" s="120">
        <f>IFERROR(VLOOKUP(U149,'Calibration Standards'!$G$13:$Q$23,11,FALSE),0)</f>
        <v>0</v>
      </c>
      <c r="AN149" s="120">
        <f t="shared" si="128"/>
        <v>0</v>
      </c>
      <c r="AO149" s="120"/>
      <c r="AP149" s="120">
        <f t="shared" si="129"/>
        <v>0</v>
      </c>
      <c r="AQ149" s="120">
        <f t="shared" si="130"/>
        <v>0</v>
      </c>
      <c r="AR149" s="120" t="e">
        <f t="shared" si="112"/>
        <v>#VALUE!</v>
      </c>
      <c r="AS149" s="120" t="e">
        <f t="shared" si="113"/>
        <v>#VALUE!</v>
      </c>
      <c r="AT149" s="126" t="e">
        <f t="shared" si="114"/>
        <v>#VALUE!</v>
      </c>
      <c r="AU149" s="126" t="e">
        <f t="shared" si="131"/>
        <v>#VALUE!</v>
      </c>
      <c r="AV149" s="121" t="e">
        <f t="shared" si="115"/>
        <v>#VALUE!</v>
      </c>
      <c r="AW149" s="122" t="e">
        <f t="shared" si="132"/>
        <v>#VALUE!</v>
      </c>
      <c r="AX149" s="210" t="e">
        <f t="shared" si="133"/>
        <v>#VALUE!</v>
      </c>
      <c r="AY149" s="210" t="e">
        <f t="shared" si="134"/>
        <v>#VALUE!</v>
      </c>
      <c r="AZ149" s="212" t="e">
        <f t="shared" si="135"/>
        <v>#VALUE!</v>
      </c>
      <c r="BA149" s="210" t="e">
        <f t="shared" si="136"/>
        <v>#VALUE!</v>
      </c>
      <c r="BB149" s="178"/>
      <c r="BC149" s="145" t="str">
        <f>IFERROR(B150,"-")</f>
        <v>-</v>
      </c>
      <c r="BD149" s="149" t="str">
        <f>E150</f>
        <v>-</v>
      </c>
      <c r="BE149" s="147" t="str">
        <f>H150</f>
        <v>-</v>
      </c>
      <c r="BF149" s="133">
        <v>0.01</v>
      </c>
      <c r="BG149" s="148">
        <v>-0.01</v>
      </c>
    </row>
    <row r="150" spans="1:59" s="14" customFormat="1" x14ac:dyDescent="0.25">
      <c r="A150" s="278" t="s">
        <v>424</v>
      </c>
      <c r="B150" s="88" t="e">
        <f>VLOOKUP(INDEX('Load Test Points'!$A$28:$B$67, MATCH($G$16,'Load Test Points'!$A$28:$A$67,0),2),'Load Test Points'!$A$4:$K$24,7,FALSE)</f>
        <v>#N/A</v>
      </c>
      <c r="C150" s="209" t="str">
        <f t="shared" si="116"/>
        <v>-</v>
      </c>
      <c r="D150" s="89"/>
      <c r="E150" s="131" t="str">
        <f t="shared" si="106"/>
        <v>-</v>
      </c>
      <c r="F150" s="209" t="str">
        <f t="shared" si="117"/>
        <v>-</v>
      </c>
      <c r="G150" s="89"/>
      <c r="H150" s="131" t="str">
        <f t="shared" si="107"/>
        <v>-</v>
      </c>
      <c r="I150" s="209" t="str">
        <f t="shared" si="118"/>
        <v>-</v>
      </c>
      <c r="J150" s="89"/>
      <c r="K150" s="131" t="str">
        <f t="shared" si="108"/>
        <v>-</v>
      </c>
      <c r="L150" s="90" t="str">
        <f t="shared" si="119"/>
        <v>-</v>
      </c>
      <c r="M150" s="127" t="str">
        <f t="shared" si="120"/>
        <v>-</v>
      </c>
      <c r="N150" s="89" t="str">
        <f t="shared" si="121"/>
        <v>-</v>
      </c>
      <c r="O150" s="51" t="str">
        <f t="shared" si="122"/>
        <v>-</v>
      </c>
      <c r="P150" s="51">
        <f t="shared" si="109"/>
        <v>0</v>
      </c>
      <c r="Q150" s="342" t="s">
        <v>297</v>
      </c>
      <c r="R150" s="342"/>
      <c r="S150" s="189" t="str">
        <f>IFERROR(VLOOKUP($B150,'Load Test Points'!$A$70:$D$89,2,FALSE),"-")</f>
        <v>-</v>
      </c>
      <c r="T150" s="189" t="str">
        <f>IFERROR(VLOOKUP($B150,'Load Test Points'!$A$70:$D$89,3,FALSE),"-")</f>
        <v>-</v>
      </c>
      <c r="U150" s="189" t="str">
        <f>IFERROR(VLOOKUP($B150,'Load Test Points'!$A$70:$D$89,4,FALSE),"-")</f>
        <v>-</v>
      </c>
      <c r="V150" s="16"/>
      <c r="W150" s="159" t="e">
        <f t="shared" si="110"/>
        <v>#VALUE!</v>
      </c>
      <c r="X150" s="187" t="str">
        <f t="shared" si="123"/>
        <v>-</v>
      </c>
      <c r="Y150" s="119"/>
      <c r="Z150" s="120" t="e">
        <f t="shared" si="111"/>
        <v>#VALUE!</v>
      </c>
      <c r="AA150" s="120" t="e">
        <f t="shared" si="124"/>
        <v>#VALUE!</v>
      </c>
      <c r="AB150" s="120" t="e">
        <f t="shared" si="125"/>
        <v>#VALUE!</v>
      </c>
      <c r="AC150" s="120" t="str">
        <f>IFERROR(VLOOKUP(S150,'Calibration Standards'!$G$13:$M$23,7,FALSE),"-")</f>
        <v>-</v>
      </c>
      <c r="AD150" s="120" t="str">
        <f>IFERROR(VLOOKUP(T150,'Calibration Standards'!$G$13:$M$23,7,FALSE),"-")</f>
        <v>-</v>
      </c>
      <c r="AE150" s="120" t="str">
        <f>IFERROR(VLOOKUP(U150,'Calibration Standards'!$G$13:$M$23,7,FALSE),"-")</f>
        <v>-</v>
      </c>
      <c r="AF150" s="120">
        <f>IFERROR(VLOOKUP(S150,'Calibration Standards'!$G$13:$O$23,9,FALSE)-VLOOKUP(S150,'Calibration Standards'!$G$13:$O$23,8,FALSE),0)</f>
        <v>0</v>
      </c>
      <c r="AG150" s="120">
        <f>IFERROR(VLOOKUP(T150,'Calibration Standards'!$G$13:$O$23,9,FALSE)-VLOOKUP(T150,'Calibration Standards'!$G$13:$O$23,8,FALSE),0)</f>
        <v>0</v>
      </c>
      <c r="AH150" s="120">
        <f>IFERROR(VLOOKUP(U150,'Calibration Standards'!$G$13:$O$23,9,FALSE)-VLOOKUP(U150,'Calibration Standards'!$G$13:$O$23,8,FALSE),0)</f>
        <v>0</v>
      </c>
      <c r="AI150" s="120">
        <f t="shared" si="126"/>
        <v>0</v>
      </c>
      <c r="AJ150" s="120">
        <f t="shared" si="127"/>
        <v>0</v>
      </c>
      <c r="AK150" s="120">
        <f>IFERROR(VLOOKUP(S150,'Calibration Standards'!$G$13:$Q$23,11,FALSE),0)</f>
        <v>0</v>
      </c>
      <c r="AL150" s="120">
        <f>IFERROR(VLOOKUP(T150,'Calibration Standards'!$G$13:$Q$23,11,FALSE),0)</f>
        <v>0</v>
      </c>
      <c r="AM150" s="120">
        <f>IFERROR(VLOOKUP(U150,'Calibration Standards'!$G$13:$Q$23,11,FALSE),0)</f>
        <v>0</v>
      </c>
      <c r="AN150" s="120">
        <f t="shared" si="128"/>
        <v>0</v>
      </c>
      <c r="AO150" s="120"/>
      <c r="AP150" s="120">
        <f t="shared" si="129"/>
        <v>0</v>
      </c>
      <c r="AQ150" s="120">
        <f t="shared" si="130"/>
        <v>0</v>
      </c>
      <c r="AR150" s="120" t="e">
        <f t="shared" si="112"/>
        <v>#VALUE!</v>
      </c>
      <c r="AS150" s="120" t="e">
        <f t="shared" si="113"/>
        <v>#VALUE!</v>
      </c>
      <c r="AT150" s="126" t="e">
        <f t="shared" si="114"/>
        <v>#VALUE!</v>
      </c>
      <c r="AU150" s="126" t="e">
        <f t="shared" si="131"/>
        <v>#VALUE!</v>
      </c>
      <c r="AV150" s="121" t="e">
        <f t="shared" si="115"/>
        <v>#VALUE!</v>
      </c>
      <c r="AW150" s="122" t="e">
        <f t="shared" si="132"/>
        <v>#VALUE!</v>
      </c>
      <c r="AX150" s="210" t="e">
        <f t="shared" si="133"/>
        <v>#VALUE!</v>
      </c>
      <c r="AY150" s="210" t="e">
        <f t="shared" si="134"/>
        <v>#VALUE!</v>
      </c>
      <c r="AZ150" s="212" t="e">
        <f t="shared" si="135"/>
        <v>#VALUE!</v>
      </c>
      <c r="BA150" s="210" t="e">
        <f t="shared" si="136"/>
        <v>#VALUE!</v>
      </c>
      <c r="BB150" s="178"/>
      <c r="BC150" s="145" t="str">
        <f>IFERROR(B149,"-")</f>
        <v>-</v>
      </c>
      <c r="BD150" s="149" t="str">
        <f>E149</f>
        <v>-</v>
      </c>
      <c r="BE150" s="147" t="str">
        <f>H149</f>
        <v>-</v>
      </c>
      <c r="BF150" s="133">
        <v>0.01</v>
      </c>
      <c r="BG150" s="148">
        <v>-0.01</v>
      </c>
    </row>
    <row r="151" spans="1:59" s="14" customFormat="1" x14ac:dyDescent="0.25">
      <c r="A151" s="278" t="s">
        <v>424</v>
      </c>
      <c r="B151" s="164" t="e">
        <f>VLOOKUP(INDEX('Load Test Points'!$A$28:$B$67, MATCH($G$16,'Load Test Points'!$A$28:$A$67,0),2),'Load Test Points'!$A$4:$K$24,8,FALSE)</f>
        <v>#N/A</v>
      </c>
      <c r="C151" s="209" t="str">
        <f t="shared" si="116"/>
        <v>-</v>
      </c>
      <c r="D151" s="89"/>
      <c r="E151" s="131" t="str">
        <f t="shared" si="106"/>
        <v>-</v>
      </c>
      <c r="F151" s="209" t="str">
        <f t="shared" si="117"/>
        <v>-</v>
      </c>
      <c r="G151" s="89"/>
      <c r="H151" s="131" t="str">
        <f t="shared" si="107"/>
        <v>-</v>
      </c>
      <c r="I151" s="209" t="str">
        <f t="shared" si="118"/>
        <v>-</v>
      </c>
      <c r="J151" s="89"/>
      <c r="K151" s="131" t="str">
        <f t="shared" si="108"/>
        <v>-</v>
      </c>
      <c r="L151" s="90" t="str">
        <f t="shared" si="119"/>
        <v>-</v>
      </c>
      <c r="M151" s="127" t="str">
        <f t="shared" si="120"/>
        <v>-</v>
      </c>
      <c r="N151" s="89" t="str">
        <f t="shared" si="121"/>
        <v>-</v>
      </c>
      <c r="O151" s="51" t="str">
        <f t="shared" si="122"/>
        <v>-</v>
      </c>
      <c r="P151" s="51">
        <f t="shared" si="109"/>
        <v>0</v>
      </c>
      <c r="Q151" s="342" t="s">
        <v>298</v>
      </c>
      <c r="R151" s="342"/>
      <c r="S151" s="189" t="str">
        <f>IFERROR(VLOOKUP($B151,'Load Test Points'!$A$70:$D$89,2,FALSE),"-")</f>
        <v>-</v>
      </c>
      <c r="T151" s="189" t="str">
        <f>IFERROR(VLOOKUP($B151,'Load Test Points'!$A$70:$D$89,3,FALSE),"-")</f>
        <v>-</v>
      </c>
      <c r="U151" s="189" t="str">
        <f>IFERROR(VLOOKUP($B151,'Load Test Points'!$A$70:$D$89,4,FALSE),"-")</f>
        <v>-</v>
      </c>
      <c r="V151" s="16"/>
      <c r="W151" s="159" t="e">
        <f t="shared" si="110"/>
        <v>#VALUE!</v>
      </c>
      <c r="X151" s="187" t="str">
        <f t="shared" si="123"/>
        <v>-</v>
      </c>
      <c r="Y151" s="119"/>
      <c r="Z151" s="120" t="e">
        <f t="shared" si="111"/>
        <v>#VALUE!</v>
      </c>
      <c r="AA151" s="120" t="e">
        <f t="shared" si="124"/>
        <v>#VALUE!</v>
      </c>
      <c r="AB151" s="120" t="e">
        <f t="shared" si="125"/>
        <v>#VALUE!</v>
      </c>
      <c r="AC151" s="120" t="str">
        <f>IFERROR(VLOOKUP(S151,'Calibration Standards'!$G$13:$M$23,7,FALSE),"-")</f>
        <v>-</v>
      </c>
      <c r="AD151" s="120" t="str">
        <f>IFERROR(VLOOKUP(T151,'Calibration Standards'!$G$13:$M$23,7,FALSE),"-")</f>
        <v>-</v>
      </c>
      <c r="AE151" s="120" t="str">
        <f>IFERROR(VLOOKUP(U151,'Calibration Standards'!$G$13:$M$23,7,FALSE),"-")</f>
        <v>-</v>
      </c>
      <c r="AF151" s="120">
        <f>IFERROR(VLOOKUP(S151,'Calibration Standards'!$G$13:$O$23,9,FALSE)-VLOOKUP(S151,'Calibration Standards'!$G$13:$O$23,8,FALSE),0)</f>
        <v>0</v>
      </c>
      <c r="AG151" s="120">
        <f>IFERROR(VLOOKUP(T151,'Calibration Standards'!$G$13:$O$23,9,FALSE)-VLOOKUP(T151,'Calibration Standards'!$G$13:$O$23,8,FALSE),0)</f>
        <v>0</v>
      </c>
      <c r="AH151" s="120">
        <f>IFERROR(VLOOKUP(U151,'Calibration Standards'!$G$13:$O$23,9,FALSE)-VLOOKUP(U151,'Calibration Standards'!$G$13:$O$23,8,FALSE),0)</f>
        <v>0</v>
      </c>
      <c r="AI151" s="120">
        <f t="shared" si="126"/>
        <v>0</v>
      </c>
      <c r="AJ151" s="120">
        <f t="shared" si="127"/>
        <v>0</v>
      </c>
      <c r="AK151" s="120">
        <f>IFERROR(VLOOKUP(S151,'Calibration Standards'!$G$13:$Q$23,11,FALSE),0)</f>
        <v>0</v>
      </c>
      <c r="AL151" s="120">
        <f>IFERROR(VLOOKUP(T151,'Calibration Standards'!$G$13:$Q$23,11,FALSE),0)</f>
        <v>0</v>
      </c>
      <c r="AM151" s="120">
        <f>IFERROR(VLOOKUP(U151,'Calibration Standards'!$G$13:$Q$23,11,FALSE),0)</f>
        <v>0</v>
      </c>
      <c r="AN151" s="120">
        <f t="shared" si="128"/>
        <v>0</v>
      </c>
      <c r="AO151" s="120"/>
      <c r="AP151" s="120">
        <f t="shared" si="129"/>
        <v>0</v>
      </c>
      <c r="AQ151" s="120">
        <f t="shared" si="130"/>
        <v>0</v>
      </c>
      <c r="AR151" s="120" t="e">
        <f t="shared" si="112"/>
        <v>#VALUE!</v>
      </c>
      <c r="AS151" s="120" t="e">
        <f t="shared" si="113"/>
        <v>#VALUE!</v>
      </c>
      <c r="AT151" s="126" t="e">
        <f t="shared" si="114"/>
        <v>#VALUE!</v>
      </c>
      <c r="AU151" s="126" t="e">
        <f t="shared" si="131"/>
        <v>#VALUE!</v>
      </c>
      <c r="AV151" s="121" t="e">
        <f t="shared" si="115"/>
        <v>#VALUE!</v>
      </c>
      <c r="AW151" s="122" t="e">
        <f t="shared" si="132"/>
        <v>#VALUE!</v>
      </c>
      <c r="AX151" s="210" t="e">
        <f t="shared" si="133"/>
        <v>#VALUE!</v>
      </c>
      <c r="AY151" s="210" t="e">
        <f t="shared" si="134"/>
        <v>#VALUE!</v>
      </c>
      <c r="AZ151" s="212" t="e">
        <f t="shared" si="135"/>
        <v>#VALUE!</v>
      </c>
      <c r="BA151" s="210" t="e">
        <f t="shared" si="136"/>
        <v>#VALUE!</v>
      </c>
      <c r="BB151" s="178"/>
      <c r="BC151" s="145" t="str">
        <f>IFERROR(B148,"-")</f>
        <v>-</v>
      </c>
      <c r="BD151" s="149" t="str">
        <f>E148</f>
        <v>-</v>
      </c>
      <c r="BE151" s="147" t="str">
        <f>H148</f>
        <v>-</v>
      </c>
      <c r="BF151" s="133">
        <v>0.01</v>
      </c>
      <c r="BG151" s="148">
        <v>-0.01</v>
      </c>
    </row>
    <row r="152" spans="1:59" s="14" customFormat="1" ht="15" customHeight="1" x14ac:dyDescent="0.25">
      <c r="A152" s="278" t="s">
        <v>424</v>
      </c>
      <c r="B152" s="164" t="e">
        <f>VLOOKUP(INDEX('Load Test Points'!$A$28:$B$67, MATCH($G$16,'Load Test Points'!$A$28:$A$67,0),2),'Load Test Points'!$A$4:$K$24,9,FALSE)</f>
        <v>#N/A</v>
      </c>
      <c r="C152" s="209" t="str">
        <f t="shared" si="116"/>
        <v>-</v>
      </c>
      <c r="D152" s="89"/>
      <c r="E152" s="131" t="str">
        <f t="shared" si="106"/>
        <v>-</v>
      </c>
      <c r="F152" s="209" t="str">
        <f t="shared" si="117"/>
        <v>-</v>
      </c>
      <c r="G152" s="89"/>
      <c r="H152" s="131" t="str">
        <f t="shared" si="107"/>
        <v>-</v>
      </c>
      <c r="I152" s="209" t="str">
        <f t="shared" si="118"/>
        <v>-</v>
      </c>
      <c r="J152" s="89"/>
      <c r="K152" s="131" t="str">
        <f t="shared" si="108"/>
        <v>-</v>
      </c>
      <c r="L152" s="90" t="str">
        <f t="shared" si="119"/>
        <v>-</v>
      </c>
      <c r="M152" s="127" t="str">
        <f t="shared" si="120"/>
        <v>-</v>
      </c>
      <c r="N152" s="89" t="str">
        <f t="shared" si="121"/>
        <v>-</v>
      </c>
      <c r="O152" s="51" t="str">
        <f t="shared" si="122"/>
        <v>-</v>
      </c>
      <c r="P152" s="51">
        <f t="shared" si="109"/>
        <v>0</v>
      </c>
      <c r="Q152" s="342" t="s">
        <v>299</v>
      </c>
      <c r="R152" s="342"/>
      <c r="S152" s="189" t="str">
        <f>IFERROR(VLOOKUP($B152,'Load Test Points'!$A$70:$D$89,2,FALSE),"-")</f>
        <v>-</v>
      </c>
      <c r="T152" s="189" t="str">
        <f>IFERROR(VLOOKUP($B152,'Load Test Points'!$A$70:$D$89,3,FALSE),"-")</f>
        <v>-</v>
      </c>
      <c r="U152" s="189" t="str">
        <f>IFERROR(VLOOKUP($B152,'Load Test Points'!$A$70:$D$89,4,FALSE),"-")</f>
        <v>-</v>
      </c>
      <c r="V152" s="16"/>
      <c r="W152" s="159" t="e">
        <f t="shared" si="110"/>
        <v>#VALUE!</v>
      </c>
      <c r="X152" s="187" t="str">
        <f t="shared" si="123"/>
        <v>-</v>
      </c>
      <c r="Y152" s="119"/>
      <c r="Z152" s="120" t="e">
        <f t="shared" si="111"/>
        <v>#VALUE!</v>
      </c>
      <c r="AA152" s="120" t="e">
        <f t="shared" si="124"/>
        <v>#VALUE!</v>
      </c>
      <c r="AB152" s="120" t="e">
        <f t="shared" si="125"/>
        <v>#VALUE!</v>
      </c>
      <c r="AC152" s="120" t="str">
        <f>IFERROR(VLOOKUP(S152,'Calibration Standards'!$G$13:$M$23,7,FALSE),"-")</f>
        <v>-</v>
      </c>
      <c r="AD152" s="120" t="str">
        <f>IFERROR(VLOOKUP(T152,'Calibration Standards'!$G$13:$M$23,7,FALSE),"-")</f>
        <v>-</v>
      </c>
      <c r="AE152" s="120" t="str">
        <f>IFERROR(VLOOKUP(U152,'Calibration Standards'!$G$13:$M$23,7,FALSE),"-")</f>
        <v>-</v>
      </c>
      <c r="AF152" s="120">
        <f>IFERROR(VLOOKUP(S152,'Calibration Standards'!$G$13:$O$23,9,FALSE)-VLOOKUP(S152,'Calibration Standards'!$G$13:$O$23,8,FALSE),0)</f>
        <v>0</v>
      </c>
      <c r="AG152" s="120">
        <f>IFERROR(VLOOKUP(T152,'Calibration Standards'!$G$13:$O$23,9,FALSE)-VLOOKUP(T152,'Calibration Standards'!$G$13:$O$23,8,FALSE),0)</f>
        <v>0</v>
      </c>
      <c r="AH152" s="120">
        <f>IFERROR(VLOOKUP(U152,'Calibration Standards'!$G$13:$O$23,9,FALSE)-VLOOKUP(U152,'Calibration Standards'!$G$13:$O$23,8,FALSE),0)</f>
        <v>0</v>
      </c>
      <c r="AI152" s="120">
        <f t="shared" si="126"/>
        <v>0</v>
      </c>
      <c r="AJ152" s="120">
        <f t="shared" si="127"/>
        <v>0</v>
      </c>
      <c r="AK152" s="120">
        <f>IFERROR(VLOOKUP(S152,'Calibration Standards'!$G$13:$Q$23,11,FALSE),0)</f>
        <v>0</v>
      </c>
      <c r="AL152" s="120">
        <f>IFERROR(VLOOKUP(T152,'Calibration Standards'!$G$13:$Q$23,11,FALSE),0)</f>
        <v>0</v>
      </c>
      <c r="AM152" s="120">
        <f>IFERROR(VLOOKUP(U152,'Calibration Standards'!$G$13:$Q$23,11,FALSE),0)</f>
        <v>0</v>
      </c>
      <c r="AN152" s="120">
        <f t="shared" si="128"/>
        <v>0</v>
      </c>
      <c r="AO152" s="120"/>
      <c r="AP152" s="120">
        <f t="shared" si="129"/>
        <v>0</v>
      </c>
      <c r="AQ152" s="120">
        <f t="shared" si="130"/>
        <v>0</v>
      </c>
      <c r="AR152" s="120" t="e">
        <f t="shared" si="112"/>
        <v>#VALUE!</v>
      </c>
      <c r="AS152" s="120" t="e">
        <f t="shared" si="113"/>
        <v>#VALUE!</v>
      </c>
      <c r="AT152" s="126" t="e">
        <f t="shared" si="114"/>
        <v>#VALUE!</v>
      </c>
      <c r="AU152" s="126" t="e">
        <f t="shared" si="131"/>
        <v>#VALUE!</v>
      </c>
      <c r="AV152" s="121" t="e">
        <f t="shared" si="115"/>
        <v>#VALUE!</v>
      </c>
      <c r="AW152" s="122" t="e">
        <f t="shared" si="132"/>
        <v>#VALUE!</v>
      </c>
      <c r="AX152" s="210" t="e">
        <f t="shared" si="133"/>
        <v>#VALUE!</v>
      </c>
      <c r="AY152" s="210" t="e">
        <f t="shared" si="134"/>
        <v>#VALUE!</v>
      </c>
      <c r="AZ152" s="212" t="e">
        <f t="shared" si="135"/>
        <v>#VALUE!</v>
      </c>
      <c r="BA152" s="210" t="e">
        <f t="shared" si="136"/>
        <v>#VALUE!</v>
      </c>
      <c r="BB152" s="178"/>
      <c r="BC152" s="145" t="str">
        <f>IFERROR(B147,"-")</f>
        <v>-</v>
      </c>
      <c r="BD152" s="149" t="str">
        <f>E147</f>
        <v>-</v>
      </c>
      <c r="BE152" s="147" t="str">
        <f>H147</f>
        <v>-</v>
      </c>
      <c r="BF152" s="133">
        <v>0.01</v>
      </c>
      <c r="BG152" s="148">
        <v>-0.01</v>
      </c>
    </row>
    <row r="153" spans="1:59" s="14" customFormat="1" x14ac:dyDescent="0.25">
      <c r="A153" s="278" t="s">
        <v>424</v>
      </c>
      <c r="B153" s="164" t="e">
        <f>VLOOKUP(INDEX('Load Test Points'!$A$28:$B$67, MATCH($G$16,'Load Test Points'!$A$28:$A$67,0),2),'Load Test Points'!$A$4:$K$24,10,FALSE)</f>
        <v>#N/A</v>
      </c>
      <c r="C153" s="209" t="str">
        <f t="shared" si="116"/>
        <v>-</v>
      </c>
      <c r="D153" s="89"/>
      <c r="E153" s="131" t="str">
        <f t="shared" si="106"/>
        <v>-</v>
      </c>
      <c r="F153" s="209" t="str">
        <f t="shared" si="117"/>
        <v>-</v>
      </c>
      <c r="G153" s="89"/>
      <c r="H153" s="131" t="str">
        <f t="shared" si="107"/>
        <v>-</v>
      </c>
      <c r="I153" s="209" t="str">
        <f t="shared" si="118"/>
        <v>-</v>
      </c>
      <c r="J153" s="89"/>
      <c r="K153" s="131" t="str">
        <f t="shared" si="108"/>
        <v>-</v>
      </c>
      <c r="L153" s="90" t="str">
        <f t="shared" si="119"/>
        <v>-</v>
      </c>
      <c r="M153" s="127" t="str">
        <f t="shared" si="120"/>
        <v>-</v>
      </c>
      <c r="N153" s="89" t="str">
        <f t="shared" si="121"/>
        <v>-</v>
      </c>
      <c r="O153" s="51" t="str">
        <f t="shared" si="122"/>
        <v>-</v>
      </c>
      <c r="P153" s="51">
        <f t="shared" si="109"/>
        <v>0</v>
      </c>
      <c r="Q153" s="342" t="s">
        <v>300</v>
      </c>
      <c r="R153" s="342"/>
      <c r="S153" s="189" t="str">
        <f>IFERROR(VLOOKUP($B153,'Load Test Points'!$A$70:$D$89,2,FALSE),"-")</f>
        <v>-</v>
      </c>
      <c r="T153" s="189" t="str">
        <f>IFERROR(VLOOKUP($B153,'Load Test Points'!$A$70:$D$89,3,FALSE),"-")</f>
        <v>-</v>
      </c>
      <c r="U153" s="189" t="str">
        <f>IFERROR(VLOOKUP($B153,'Load Test Points'!$A$70:$D$89,4,FALSE),"-")</f>
        <v>-</v>
      </c>
      <c r="V153" s="16"/>
      <c r="W153" s="159" t="e">
        <f t="shared" si="110"/>
        <v>#VALUE!</v>
      </c>
      <c r="X153" s="187" t="str">
        <f t="shared" si="123"/>
        <v>-</v>
      </c>
      <c r="Y153" s="119"/>
      <c r="Z153" s="120" t="e">
        <f t="shared" si="111"/>
        <v>#VALUE!</v>
      </c>
      <c r="AA153" s="120" t="e">
        <f t="shared" si="124"/>
        <v>#VALUE!</v>
      </c>
      <c r="AB153" s="120" t="e">
        <f t="shared" si="125"/>
        <v>#VALUE!</v>
      </c>
      <c r="AC153" s="120" t="str">
        <f>IFERROR(VLOOKUP(S153,'Calibration Standards'!$G$13:$M$23,7,FALSE),"-")</f>
        <v>-</v>
      </c>
      <c r="AD153" s="120" t="str">
        <f>IFERROR(VLOOKUP(T153,'Calibration Standards'!$G$13:$M$23,7,FALSE),"-")</f>
        <v>-</v>
      </c>
      <c r="AE153" s="120" t="str">
        <f>IFERROR(VLOOKUP(U153,'Calibration Standards'!$G$13:$M$23,7,FALSE),"-")</f>
        <v>-</v>
      </c>
      <c r="AF153" s="120">
        <f>IFERROR(VLOOKUP(S153,'Calibration Standards'!$G$13:$O$23,9,FALSE)-VLOOKUP(S153,'Calibration Standards'!$G$13:$O$23,8,FALSE),0)</f>
        <v>0</v>
      </c>
      <c r="AG153" s="120">
        <f>IFERROR(VLOOKUP(T153,'Calibration Standards'!$G$13:$O$23,9,FALSE)-VLOOKUP(T153,'Calibration Standards'!$G$13:$O$23,8,FALSE),0)</f>
        <v>0</v>
      </c>
      <c r="AH153" s="120">
        <f>IFERROR(VLOOKUP(U153,'Calibration Standards'!$G$13:$O$23,9,FALSE)-VLOOKUP(U153,'Calibration Standards'!$G$13:$O$23,8,FALSE),0)</f>
        <v>0</v>
      </c>
      <c r="AI153" s="120">
        <f t="shared" si="126"/>
        <v>0</v>
      </c>
      <c r="AJ153" s="120">
        <f t="shared" si="127"/>
        <v>0</v>
      </c>
      <c r="AK153" s="120">
        <f>IFERROR(VLOOKUP(S153,'Calibration Standards'!$G$13:$Q$23,11,FALSE),0)</f>
        <v>0</v>
      </c>
      <c r="AL153" s="120">
        <f>IFERROR(VLOOKUP(T153,'Calibration Standards'!$G$13:$Q$23,11,FALSE),0)</f>
        <v>0</v>
      </c>
      <c r="AM153" s="120">
        <f>IFERROR(VLOOKUP(U153,'Calibration Standards'!$G$13:$Q$23,11,FALSE),0)</f>
        <v>0</v>
      </c>
      <c r="AN153" s="120">
        <f t="shared" si="128"/>
        <v>0</v>
      </c>
      <c r="AO153" s="120"/>
      <c r="AP153" s="120">
        <f t="shared" si="129"/>
        <v>0</v>
      </c>
      <c r="AQ153" s="120">
        <f t="shared" si="130"/>
        <v>0</v>
      </c>
      <c r="AR153" s="120" t="e">
        <f t="shared" si="112"/>
        <v>#VALUE!</v>
      </c>
      <c r="AS153" s="120" t="e">
        <f t="shared" si="113"/>
        <v>#VALUE!</v>
      </c>
      <c r="AT153" s="126" t="e">
        <f t="shared" si="114"/>
        <v>#VALUE!</v>
      </c>
      <c r="AU153" s="126" t="e">
        <f t="shared" si="131"/>
        <v>#VALUE!</v>
      </c>
      <c r="AV153" s="121" t="e">
        <f t="shared" si="115"/>
        <v>#VALUE!</v>
      </c>
      <c r="AW153" s="122" t="e">
        <f t="shared" si="132"/>
        <v>#VALUE!</v>
      </c>
      <c r="AX153" s="210" t="e">
        <f t="shared" si="133"/>
        <v>#VALUE!</v>
      </c>
      <c r="AY153" s="210" t="e">
        <f t="shared" si="134"/>
        <v>#VALUE!</v>
      </c>
      <c r="AZ153" s="212" t="e">
        <f t="shared" si="135"/>
        <v>#VALUE!</v>
      </c>
      <c r="BA153" s="210" t="e">
        <f t="shared" si="136"/>
        <v>#VALUE!</v>
      </c>
      <c r="BB153" s="178"/>
      <c r="BC153" s="145" t="str">
        <f>IFERROR(B146,"-")</f>
        <v>-</v>
      </c>
      <c r="BD153" s="149" t="str">
        <f>E146</f>
        <v>-</v>
      </c>
      <c r="BE153" s="147" t="str">
        <f>H146</f>
        <v>-</v>
      </c>
      <c r="BF153" s="133">
        <v>0.01</v>
      </c>
      <c r="BG153" s="148">
        <v>-0.01</v>
      </c>
    </row>
    <row r="154" spans="1:59" s="14" customFormat="1" ht="15.75" thickBot="1" x14ac:dyDescent="0.3">
      <c r="A154" s="278" t="s">
        <v>424</v>
      </c>
      <c r="B154" s="164" t="e">
        <f>VLOOKUP(INDEX('Load Test Points'!$A$28:$B$67, MATCH($G$16,'Load Test Points'!$A$28:$A$67,0),2),'Load Test Points'!$A$4:$K$24,11,FALSE)</f>
        <v>#N/A</v>
      </c>
      <c r="C154" s="209" t="str">
        <f>IFERROR(IF(SUM($AC154:$AE154)=0,"-",SUM($AC154:$AE154)),"-")</f>
        <v>-</v>
      </c>
      <c r="D154" s="89"/>
      <c r="E154" s="131" t="str">
        <f>IFERROR((C154-D154)/C154,"-")</f>
        <v>-</v>
      </c>
      <c r="F154" s="209" t="str">
        <f>IFERROR(IF(SUM($AC154:$AE154)=0,"-",SUM($AC154:$AE154)),"-")</f>
        <v>-</v>
      </c>
      <c r="G154" s="89"/>
      <c r="H154" s="131" t="str">
        <f>IFERROR((F154-G154)/F154,"-")</f>
        <v>-</v>
      </c>
      <c r="I154" s="209" t="str">
        <f>IFERROR(IF(SUM($AC154:$AE154)=0,"-",SUM($AC154:$AE154)),"-")</f>
        <v>-</v>
      </c>
      <c r="J154" s="89"/>
      <c r="K154" s="131" t="str">
        <f>IFERROR((I154-J154)/I154,"-")</f>
        <v>-</v>
      </c>
      <c r="L154" s="90" t="str">
        <f t="shared" si="119"/>
        <v>-</v>
      </c>
      <c r="M154" s="127" t="str">
        <f t="shared" si="120"/>
        <v>-</v>
      </c>
      <c r="N154" s="89" t="str">
        <f t="shared" si="121"/>
        <v>-</v>
      </c>
      <c r="O154" s="51" t="str">
        <f t="shared" si="122"/>
        <v>-</v>
      </c>
      <c r="P154" s="51">
        <f t="shared" si="109"/>
        <v>0</v>
      </c>
      <c r="Q154" s="342" t="s">
        <v>301</v>
      </c>
      <c r="R154" s="342"/>
      <c r="S154" s="189" t="str">
        <f>IFERROR(VLOOKUP($B154,'Load Test Points'!$A$70:$D$89,2,FALSE),"-")</f>
        <v>-</v>
      </c>
      <c r="T154" s="189" t="str">
        <f>IFERROR(VLOOKUP($B154,'Load Test Points'!$A$70:$D$89,3,FALSE),"-")</f>
        <v>-</v>
      </c>
      <c r="U154" s="189" t="str">
        <f>IFERROR(VLOOKUP($B154,'Load Test Points'!$A$70:$D$89,4,FALSE),"-")</f>
        <v>-</v>
      </c>
      <c r="V154" s="16"/>
      <c r="W154" s="159" t="e">
        <f t="shared" si="110"/>
        <v>#VALUE!</v>
      </c>
      <c r="X154" s="187" t="str">
        <f t="shared" ref="X154" si="137">IFERROR(W154/P154,"-")</f>
        <v>-</v>
      </c>
      <c r="Y154" s="94"/>
      <c r="Z154" s="123" t="e">
        <f t="shared" si="111"/>
        <v>#VALUE!</v>
      </c>
      <c r="AA154" s="120" t="e">
        <f t="shared" si="124"/>
        <v>#VALUE!</v>
      </c>
      <c r="AB154" s="120" t="e">
        <f t="shared" si="125"/>
        <v>#VALUE!</v>
      </c>
      <c r="AC154" s="120" t="str">
        <f>IFERROR(VLOOKUP(S154,'Calibration Standards'!$G$13:$M$23,7,FALSE),"-")</f>
        <v>-</v>
      </c>
      <c r="AD154" s="120" t="str">
        <f>IFERROR(VLOOKUP(T154,'Calibration Standards'!$G$13:$M$23,7,FALSE),"-")</f>
        <v>-</v>
      </c>
      <c r="AE154" s="120" t="str">
        <f>IFERROR(VLOOKUP(U154,'Calibration Standards'!$G$13:$M$23,7,FALSE),"-")</f>
        <v>-</v>
      </c>
      <c r="AF154" s="120">
        <f>IFERROR(VLOOKUP(S154,'Calibration Standards'!$G$13:$O$23,9,FALSE)-VLOOKUP(S154,'Calibration Standards'!$G$13:$O$23,8,FALSE),0)</f>
        <v>0</v>
      </c>
      <c r="AG154" s="120">
        <f>IFERROR(VLOOKUP(T154,'Calibration Standards'!$G$13:$O$23,9,FALSE)-VLOOKUP(T154,'Calibration Standards'!$G$13:$O$23,8,FALSE),0)</f>
        <v>0</v>
      </c>
      <c r="AH154" s="120">
        <f>IFERROR(VLOOKUP(U154,'Calibration Standards'!$G$13:$O$23,9,FALSE)-VLOOKUP(U154,'Calibration Standards'!$G$13:$O$23,8,FALSE),0)</f>
        <v>0</v>
      </c>
      <c r="AI154" s="120">
        <f t="shared" si="126"/>
        <v>0</v>
      </c>
      <c r="AJ154" s="120">
        <f t="shared" si="127"/>
        <v>0</v>
      </c>
      <c r="AK154" s="120">
        <f>IFERROR(VLOOKUP(S154,'Calibration Standards'!$G$13:$Q$23,11,FALSE),0)</f>
        <v>0</v>
      </c>
      <c r="AL154" s="120">
        <f>IFERROR(VLOOKUP(T154,'Calibration Standards'!$G$13:$Q$23,11,FALSE),0)</f>
        <v>0</v>
      </c>
      <c r="AM154" s="120">
        <f>IFERROR(VLOOKUP(U154,'Calibration Standards'!$G$13:$Q$23,11,FALSE),0)</f>
        <v>0</v>
      </c>
      <c r="AN154" s="120">
        <f t="shared" si="128"/>
        <v>0</v>
      </c>
      <c r="AO154" s="120"/>
      <c r="AP154" s="120">
        <f t="shared" si="129"/>
        <v>0</v>
      </c>
      <c r="AQ154" s="120">
        <f t="shared" si="130"/>
        <v>0</v>
      </c>
      <c r="AR154" s="120" t="e">
        <f t="shared" si="112"/>
        <v>#VALUE!</v>
      </c>
      <c r="AS154" s="120" t="e">
        <f t="shared" si="113"/>
        <v>#VALUE!</v>
      </c>
      <c r="AT154" s="126" t="e">
        <f t="shared" si="114"/>
        <v>#VALUE!</v>
      </c>
      <c r="AU154" s="126" t="e">
        <f t="shared" si="131"/>
        <v>#VALUE!</v>
      </c>
      <c r="AV154" s="121" t="e">
        <f t="shared" si="115"/>
        <v>#VALUE!</v>
      </c>
      <c r="AW154" s="122" t="e">
        <f t="shared" si="132"/>
        <v>#VALUE!</v>
      </c>
      <c r="AX154" s="210" t="e">
        <f t="shared" si="133"/>
        <v>#VALUE!</v>
      </c>
      <c r="AY154" s="210" t="e">
        <f t="shared" si="134"/>
        <v>#VALUE!</v>
      </c>
      <c r="AZ154" s="211" t="e">
        <f t="shared" si="135"/>
        <v>#VALUE!</v>
      </c>
      <c r="BA154" s="210" t="e">
        <f t="shared" si="136"/>
        <v>#VALUE!</v>
      </c>
      <c r="BB154" s="178"/>
      <c r="BC154" s="150" t="str">
        <f>IFERROR(B145,"-")</f>
        <v>-</v>
      </c>
      <c r="BD154" s="151" t="str">
        <f>E145</f>
        <v>-</v>
      </c>
      <c r="BE154" s="152" t="str">
        <f>H145</f>
        <v>-</v>
      </c>
      <c r="BF154" s="153">
        <v>0.01</v>
      </c>
      <c r="BG154" s="154">
        <v>-0.01</v>
      </c>
    </row>
    <row r="155" spans="1:59" s="14" customFormat="1" x14ac:dyDescent="0.25">
      <c r="A155" s="276"/>
      <c r="B155" s="96"/>
      <c r="C155" s="96"/>
      <c r="D155" s="96"/>
      <c r="E155" s="96"/>
      <c r="F155" s="96"/>
      <c r="G155" s="96"/>
      <c r="H155" s="96"/>
      <c r="I155" s="96"/>
      <c r="J155" s="96"/>
      <c r="K155" s="96"/>
      <c r="L155" s="96"/>
      <c r="M155" s="96"/>
      <c r="N155" s="96"/>
      <c r="O155" s="16"/>
      <c r="P155" s="16"/>
      <c r="Q155" s="16"/>
      <c r="R155" s="16"/>
      <c r="S155" s="16"/>
      <c r="T155" s="16"/>
      <c r="U155" s="16"/>
      <c r="V155" s="16"/>
      <c r="W155" s="36"/>
      <c r="X155" s="36"/>
      <c r="Y155" s="16"/>
      <c r="Z155" s="16"/>
      <c r="AA155" s="16"/>
      <c r="AX155" s="96"/>
      <c r="AY155" s="96"/>
      <c r="AZ155" s="96"/>
      <c r="BA155" s="96"/>
      <c r="BB155" s="96"/>
    </row>
    <row r="156" spans="1:59" s="14" customFormat="1" x14ac:dyDescent="0.25">
      <c r="A156" s="276"/>
      <c r="O156" s="16"/>
      <c r="P156" s="16"/>
      <c r="Q156" s="16"/>
      <c r="R156" s="16"/>
      <c r="S156" s="16"/>
      <c r="T156" s="16"/>
      <c r="U156" s="16"/>
      <c r="V156" s="16"/>
      <c r="W156" s="36"/>
      <c r="X156" s="36"/>
      <c r="Y156" s="16"/>
      <c r="Z156" s="16"/>
      <c r="AA156" s="16"/>
      <c r="AX156" s="96"/>
      <c r="AY156" s="96"/>
      <c r="AZ156" s="96"/>
      <c r="BA156" s="96"/>
      <c r="BB156" s="96"/>
    </row>
    <row r="157" spans="1:59" s="14" customFormat="1" x14ac:dyDescent="0.25">
      <c r="A157" s="276"/>
      <c r="O157" s="16"/>
      <c r="P157" s="16"/>
      <c r="Q157" s="16"/>
      <c r="R157" s="16"/>
      <c r="S157" s="16"/>
      <c r="T157" s="16"/>
      <c r="U157" s="16"/>
      <c r="V157" s="16"/>
      <c r="W157" s="36"/>
      <c r="X157" s="36"/>
      <c r="Y157" s="16"/>
      <c r="Z157" s="16"/>
      <c r="AA157" s="16"/>
      <c r="AX157" s="96"/>
      <c r="AY157" s="96"/>
      <c r="AZ157" s="96"/>
      <c r="BA157" s="96"/>
      <c r="BB157" s="96"/>
    </row>
    <row r="158" spans="1:59" s="14" customFormat="1" x14ac:dyDescent="0.25">
      <c r="A158" s="276"/>
      <c r="O158" s="16"/>
      <c r="P158" s="16"/>
      <c r="Q158" s="16"/>
      <c r="R158" s="16"/>
      <c r="S158" s="16"/>
      <c r="T158" s="16"/>
      <c r="U158" s="16"/>
      <c r="V158" s="16"/>
      <c r="W158" s="36"/>
      <c r="X158" s="36"/>
      <c r="Y158" s="16"/>
      <c r="Z158" s="16"/>
      <c r="AA158" s="16"/>
      <c r="AX158" s="96"/>
      <c r="AY158" s="96"/>
      <c r="AZ158" s="96"/>
      <c r="BA158" s="96"/>
      <c r="BB158" s="96"/>
    </row>
    <row r="159" spans="1:59" s="14" customFormat="1" x14ac:dyDescent="0.25">
      <c r="A159" s="276"/>
      <c r="O159" s="16"/>
      <c r="P159" s="16"/>
      <c r="Q159" s="16"/>
      <c r="R159" s="16"/>
      <c r="S159" s="16"/>
      <c r="T159" s="16"/>
      <c r="U159" s="16"/>
      <c r="V159" s="16"/>
      <c r="W159" s="36"/>
      <c r="X159" s="36"/>
      <c r="Y159" s="16"/>
      <c r="Z159" s="16"/>
      <c r="AA159" s="16"/>
      <c r="AX159" s="96"/>
      <c r="AY159" s="96"/>
      <c r="AZ159" s="96"/>
      <c r="BA159" s="96"/>
      <c r="BB159" s="96"/>
    </row>
    <row r="160" spans="1:59" s="14" customFormat="1" x14ac:dyDescent="0.25">
      <c r="A160" s="276"/>
      <c r="O160" s="16"/>
      <c r="P160" s="16"/>
      <c r="Q160" s="16"/>
      <c r="R160" s="16"/>
      <c r="S160" s="16"/>
      <c r="T160" s="16"/>
      <c r="U160" s="16"/>
      <c r="V160" s="16"/>
      <c r="W160" s="36"/>
      <c r="X160" s="36"/>
      <c r="Y160" s="16"/>
      <c r="Z160" s="16"/>
      <c r="AA160" s="16"/>
      <c r="AX160" s="96"/>
      <c r="AY160" s="96"/>
      <c r="AZ160" s="96"/>
      <c r="BA160" s="96"/>
      <c r="BB160" s="96"/>
    </row>
    <row r="161" spans="1:54" s="14" customFormat="1" x14ac:dyDescent="0.25">
      <c r="A161" s="276"/>
      <c r="O161" s="16"/>
      <c r="P161" s="16"/>
      <c r="Q161" s="16"/>
      <c r="R161" s="16"/>
      <c r="S161" s="16"/>
      <c r="T161" s="16"/>
      <c r="U161" s="16"/>
      <c r="V161" s="16"/>
      <c r="W161" s="36"/>
      <c r="X161" s="36"/>
      <c r="Y161" s="16"/>
      <c r="Z161" s="16"/>
      <c r="AA161" s="16"/>
      <c r="AX161" s="96"/>
      <c r="AY161" s="96"/>
      <c r="AZ161" s="96"/>
      <c r="BA161" s="96"/>
      <c r="BB161" s="96"/>
    </row>
    <row r="162" spans="1:54" s="14" customFormat="1" x14ac:dyDescent="0.25">
      <c r="A162" s="276"/>
      <c r="O162" s="16"/>
      <c r="P162" s="16"/>
      <c r="Q162" s="16"/>
      <c r="R162" s="16"/>
      <c r="S162" s="16"/>
      <c r="T162" s="16"/>
      <c r="U162" s="16"/>
      <c r="V162" s="16"/>
      <c r="W162" s="36"/>
      <c r="X162" s="36"/>
      <c r="Y162" s="16"/>
      <c r="Z162" s="16"/>
      <c r="AA162" s="16"/>
      <c r="AX162" s="96"/>
      <c r="AY162" s="96"/>
      <c r="AZ162" s="96"/>
      <c r="BA162" s="96"/>
      <c r="BB162" s="96"/>
    </row>
    <row r="163" spans="1:54" s="14" customFormat="1" x14ac:dyDescent="0.25">
      <c r="A163" s="276"/>
      <c r="O163" s="16"/>
      <c r="P163" s="16"/>
      <c r="Q163" s="16"/>
      <c r="R163" s="16"/>
      <c r="S163" s="16"/>
      <c r="T163" s="16"/>
      <c r="U163" s="16"/>
      <c r="V163" s="16"/>
      <c r="W163" s="36"/>
      <c r="X163" s="36"/>
      <c r="Y163" s="16"/>
      <c r="Z163" s="16"/>
      <c r="AA163" s="16"/>
      <c r="AX163" s="96"/>
      <c r="AY163" s="96"/>
      <c r="AZ163" s="96"/>
      <c r="BA163" s="96"/>
      <c r="BB163" s="96"/>
    </row>
    <row r="164" spans="1:54" s="14" customFormat="1" x14ac:dyDescent="0.25">
      <c r="A164" s="276"/>
      <c r="O164" s="16"/>
      <c r="P164" s="16"/>
      <c r="Q164" s="16"/>
      <c r="R164" s="16"/>
      <c r="S164" s="16"/>
      <c r="T164" s="16"/>
      <c r="U164" s="16"/>
      <c r="V164" s="16"/>
      <c r="W164" s="36"/>
      <c r="X164" s="36"/>
      <c r="Y164" s="16"/>
      <c r="Z164" s="16"/>
      <c r="AA164" s="16"/>
      <c r="AX164" s="96"/>
      <c r="AY164" s="96"/>
      <c r="AZ164" s="96"/>
      <c r="BA164" s="96"/>
      <c r="BB164" s="96"/>
    </row>
    <row r="165" spans="1:54" s="14" customFormat="1" x14ac:dyDescent="0.25">
      <c r="A165" s="276"/>
      <c r="O165" s="16"/>
      <c r="P165" s="16"/>
      <c r="Q165" s="16"/>
      <c r="R165" s="16"/>
      <c r="S165" s="16"/>
      <c r="T165" s="16"/>
      <c r="U165" s="16"/>
      <c r="V165" s="16"/>
      <c r="W165" s="36"/>
      <c r="X165" s="36"/>
      <c r="Y165" s="16"/>
      <c r="Z165" s="16"/>
      <c r="AA165" s="16"/>
      <c r="AX165" s="96"/>
      <c r="AY165" s="96"/>
      <c r="AZ165" s="96"/>
      <c r="BA165" s="96"/>
      <c r="BB165" s="96"/>
    </row>
    <row r="166" spans="1:54" s="14" customFormat="1" x14ac:dyDescent="0.25">
      <c r="A166" s="276"/>
      <c r="O166" s="16"/>
      <c r="P166" s="16"/>
      <c r="Q166" s="16"/>
      <c r="R166" s="16"/>
      <c r="S166" s="16"/>
      <c r="T166" s="16"/>
      <c r="U166" s="16"/>
      <c r="V166" s="16"/>
      <c r="W166" s="36"/>
      <c r="X166" s="36"/>
      <c r="Y166" s="16"/>
      <c r="Z166" s="16"/>
      <c r="AA166" s="16"/>
      <c r="AX166" s="96"/>
      <c r="AY166" s="96"/>
      <c r="AZ166" s="96"/>
      <c r="BA166" s="96"/>
      <c r="BB166" s="96"/>
    </row>
    <row r="167" spans="1:54" s="14" customFormat="1" x14ac:dyDescent="0.25">
      <c r="A167" s="276"/>
      <c r="O167" s="16"/>
      <c r="P167" s="16"/>
      <c r="Q167" s="16"/>
      <c r="R167" s="16"/>
      <c r="S167" s="16"/>
      <c r="T167" s="16"/>
      <c r="U167" s="16"/>
      <c r="V167" s="16"/>
      <c r="W167" s="36"/>
      <c r="X167" s="36"/>
      <c r="Y167" s="16"/>
      <c r="Z167" s="16"/>
      <c r="AA167" s="16"/>
      <c r="AX167" s="96"/>
      <c r="AY167" s="96"/>
      <c r="AZ167" s="96"/>
      <c r="BA167" s="96"/>
      <c r="BB167" s="96"/>
    </row>
    <row r="168" spans="1:54" s="14" customFormat="1" x14ac:dyDescent="0.25">
      <c r="A168" s="276"/>
      <c r="O168" s="16"/>
      <c r="P168" s="16"/>
      <c r="Q168" s="16"/>
      <c r="R168" s="16"/>
      <c r="S168" s="16"/>
      <c r="T168" s="16"/>
      <c r="U168" s="16"/>
      <c r="V168" s="16"/>
      <c r="W168" s="36"/>
      <c r="X168" s="36"/>
      <c r="Y168" s="16"/>
      <c r="Z168" s="16"/>
      <c r="AA168" s="16"/>
      <c r="AX168" s="96"/>
      <c r="AY168" s="96"/>
      <c r="AZ168" s="96"/>
      <c r="BA168" s="96"/>
      <c r="BB168" s="96"/>
    </row>
    <row r="169" spans="1:54" s="14" customFormat="1" x14ac:dyDescent="0.25">
      <c r="A169" s="276"/>
      <c r="O169" s="16"/>
      <c r="P169" s="16"/>
      <c r="Q169" s="16"/>
      <c r="R169" s="16"/>
      <c r="S169" s="16"/>
      <c r="T169" s="16"/>
      <c r="U169" s="16"/>
      <c r="V169" s="16"/>
      <c r="W169" s="36"/>
      <c r="X169" s="36"/>
      <c r="Y169" s="16"/>
      <c r="Z169" s="16"/>
      <c r="AA169" s="16"/>
      <c r="AX169" s="96"/>
      <c r="AY169" s="96"/>
      <c r="AZ169" s="96"/>
      <c r="BA169" s="96"/>
      <c r="BB169" s="96"/>
    </row>
    <row r="170" spans="1:54" s="14" customFormat="1" x14ac:dyDescent="0.25">
      <c r="A170" s="276"/>
      <c r="O170" s="16"/>
      <c r="P170" s="16"/>
      <c r="Q170" s="16"/>
      <c r="R170" s="16"/>
      <c r="S170" s="16"/>
      <c r="T170" s="16"/>
      <c r="U170" s="16"/>
      <c r="V170" s="16"/>
      <c r="W170" s="36"/>
      <c r="X170" s="36"/>
      <c r="Y170" s="16"/>
      <c r="Z170" s="16"/>
      <c r="AX170" s="96"/>
      <c r="AY170" s="96"/>
      <c r="AZ170" s="96"/>
      <c r="BA170" s="96"/>
      <c r="BB170" s="96"/>
    </row>
    <row r="171" spans="1:54" s="14" customFormat="1" x14ac:dyDescent="0.25">
      <c r="A171" s="276"/>
      <c r="O171" s="16"/>
      <c r="P171" s="16"/>
      <c r="Q171" s="16"/>
      <c r="R171" s="16"/>
      <c r="S171" s="16"/>
      <c r="T171" s="16"/>
      <c r="U171" s="16"/>
      <c r="V171" s="16"/>
      <c r="W171" s="36"/>
      <c r="X171" s="36"/>
      <c r="Y171" s="16"/>
      <c r="Z171" s="16"/>
      <c r="AA171" s="16"/>
      <c r="AX171" s="96"/>
      <c r="AY171" s="96"/>
      <c r="AZ171" s="96"/>
      <c r="BA171" s="96"/>
      <c r="BB171" s="96"/>
    </row>
    <row r="172" spans="1:54" s="14" customFormat="1" x14ac:dyDescent="0.25">
      <c r="A172" s="276"/>
      <c r="B172" s="134" t="s">
        <v>279</v>
      </c>
      <c r="O172" s="16"/>
      <c r="P172" s="16"/>
      <c r="Q172" s="16"/>
      <c r="R172" s="16"/>
      <c r="S172" s="16"/>
      <c r="T172" s="16"/>
      <c r="U172" s="16"/>
      <c r="V172" s="16"/>
      <c r="W172" s="36"/>
      <c r="X172" s="36"/>
      <c r="Y172" s="16"/>
      <c r="Z172" s="16"/>
      <c r="AA172" s="16"/>
      <c r="AX172" s="96"/>
      <c r="AY172" s="96"/>
      <c r="AZ172" s="96"/>
      <c r="BA172" s="96"/>
      <c r="BB172" s="96"/>
    </row>
    <row r="173" spans="1:54" s="14" customFormat="1" x14ac:dyDescent="0.25">
      <c r="A173" s="276"/>
      <c r="B173" s="134" t="s">
        <v>280</v>
      </c>
      <c r="O173" s="16"/>
      <c r="P173" s="16"/>
      <c r="Q173" s="16"/>
      <c r="R173" s="16"/>
      <c r="S173" s="16"/>
      <c r="T173" s="16"/>
      <c r="U173" s="16"/>
      <c r="V173" s="16"/>
      <c r="W173" s="36"/>
      <c r="X173" s="36"/>
      <c r="Y173" s="16"/>
      <c r="Z173" s="16"/>
      <c r="AA173" s="16"/>
      <c r="AX173" s="96"/>
      <c r="AY173" s="96"/>
      <c r="AZ173" s="96"/>
      <c r="BA173" s="96"/>
      <c r="BB173" s="96"/>
    </row>
    <row r="174" spans="1:54" s="14" customFormat="1" x14ac:dyDescent="0.25">
      <c r="A174" s="276"/>
      <c r="B174" s="134" t="s">
        <v>281</v>
      </c>
      <c r="O174" s="16"/>
      <c r="P174" s="16"/>
      <c r="Q174" s="16"/>
      <c r="R174" s="16"/>
      <c r="S174" s="16"/>
      <c r="T174" s="16"/>
      <c r="U174" s="16"/>
      <c r="V174" s="16"/>
      <c r="W174" s="36"/>
      <c r="AX174" s="96"/>
      <c r="AY174" s="96"/>
      <c r="AZ174" s="96"/>
      <c r="BA174" s="96"/>
      <c r="BB174" s="96"/>
    </row>
    <row r="175" spans="1:54" s="14" customFormat="1" x14ac:dyDescent="0.25">
      <c r="A175" s="276"/>
      <c r="B175" s="134"/>
      <c r="O175" s="16"/>
      <c r="P175" s="16"/>
      <c r="Q175" s="16"/>
      <c r="R175" s="16"/>
      <c r="S175" s="16"/>
      <c r="T175" s="16"/>
      <c r="U175" s="16"/>
      <c r="V175" s="16"/>
      <c r="W175" s="36"/>
      <c r="AX175" s="96"/>
      <c r="AY175" s="96"/>
      <c r="AZ175" s="96"/>
      <c r="BA175" s="96"/>
      <c r="BB175" s="96"/>
    </row>
    <row r="176" spans="1:54" s="14" customFormat="1" x14ac:dyDescent="0.25">
      <c r="A176" s="276"/>
      <c r="B176" s="134"/>
      <c r="O176" s="16"/>
      <c r="P176" s="16"/>
      <c r="Q176" s="16"/>
      <c r="R176" s="16"/>
      <c r="S176" s="16"/>
      <c r="T176" s="16"/>
      <c r="U176" s="16"/>
      <c r="V176" s="16"/>
      <c r="W176" s="36"/>
      <c r="AX176" s="96"/>
      <c r="AY176" s="96"/>
      <c r="AZ176" s="96"/>
      <c r="BA176" s="96"/>
      <c r="BB176" s="96"/>
    </row>
    <row r="177" spans="1:54" s="14" customFormat="1" x14ac:dyDescent="0.25">
      <c r="A177" s="276"/>
      <c r="B177" s="134"/>
      <c r="O177" s="16"/>
      <c r="P177" s="16"/>
      <c r="Q177" s="16"/>
      <c r="R177" s="16"/>
      <c r="S177" s="16"/>
      <c r="T177" s="16"/>
      <c r="U177" s="16"/>
      <c r="V177" s="16"/>
      <c r="W177" s="36"/>
      <c r="AX177" s="96"/>
      <c r="AY177" s="96"/>
      <c r="AZ177" s="96"/>
      <c r="BA177" s="96"/>
      <c r="BB177" s="96"/>
    </row>
    <row r="178" spans="1:54" s="14" customFormat="1" x14ac:dyDescent="0.25">
      <c r="A178" s="276"/>
      <c r="B178" s="134"/>
      <c r="O178" s="16"/>
      <c r="P178" s="16"/>
      <c r="Q178" s="16"/>
      <c r="R178" s="16"/>
      <c r="S178" s="16"/>
      <c r="T178" s="16"/>
      <c r="U178" s="16"/>
      <c r="V178" s="16"/>
      <c r="W178" s="36"/>
      <c r="AX178" s="96"/>
      <c r="AY178" s="96"/>
      <c r="AZ178" s="96"/>
      <c r="BA178" s="96"/>
      <c r="BB178" s="96"/>
    </row>
    <row r="179" spans="1:54" s="14" customFormat="1" x14ac:dyDescent="0.25">
      <c r="A179" s="276"/>
      <c r="B179" s="134"/>
      <c r="O179" s="16"/>
      <c r="P179" s="16"/>
      <c r="Q179" s="16"/>
      <c r="R179" s="16"/>
      <c r="S179" s="16"/>
      <c r="T179" s="16"/>
      <c r="U179" s="16"/>
      <c r="V179" s="16"/>
      <c r="W179" s="36"/>
      <c r="AX179" s="96"/>
      <c r="AY179" s="96"/>
      <c r="AZ179" s="96"/>
      <c r="BA179" s="96"/>
      <c r="BB179" s="96"/>
    </row>
    <row r="180" spans="1:54" s="14" customFormat="1" x14ac:dyDescent="0.25">
      <c r="A180" s="276"/>
      <c r="B180" s="134"/>
      <c r="O180" s="16"/>
      <c r="P180" s="16"/>
      <c r="Q180" s="16"/>
      <c r="R180" s="16"/>
      <c r="S180" s="16"/>
      <c r="T180" s="16"/>
      <c r="U180" s="16"/>
      <c r="V180" s="16"/>
      <c r="W180" s="36"/>
      <c r="AX180" s="96"/>
      <c r="AY180" s="96"/>
      <c r="AZ180" s="96"/>
      <c r="BA180" s="96"/>
      <c r="BB180" s="96"/>
    </row>
    <row r="181" spans="1:54" s="14" customFormat="1" x14ac:dyDescent="0.25">
      <c r="A181" s="276"/>
      <c r="B181" s="134"/>
      <c r="O181" s="16"/>
      <c r="P181" s="16"/>
      <c r="Q181" s="16"/>
      <c r="R181" s="16"/>
      <c r="S181" s="16"/>
      <c r="T181" s="16"/>
      <c r="U181" s="16"/>
      <c r="V181" s="16"/>
      <c r="W181" s="36"/>
      <c r="AX181" s="96"/>
      <c r="AY181" s="96"/>
      <c r="AZ181" s="96"/>
      <c r="BA181" s="96"/>
      <c r="BB181" s="96"/>
    </row>
    <row r="182" spans="1:54" s="14" customFormat="1" x14ac:dyDescent="0.25">
      <c r="A182" s="276"/>
      <c r="B182" s="134"/>
      <c r="O182" s="16"/>
      <c r="P182" s="16"/>
      <c r="Q182" s="16"/>
      <c r="R182" s="16"/>
      <c r="S182" s="16"/>
      <c r="T182" s="16"/>
      <c r="U182" s="16"/>
      <c r="V182" s="16"/>
      <c r="W182" s="36"/>
      <c r="AX182" s="96"/>
      <c r="AY182" s="96"/>
      <c r="AZ182" s="96"/>
      <c r="BA182" s="96"/>
      <c r="BB182" s="96"/>
    </row>
    <row r="183" spans="1:54" s="14" customFormat="1" x14ac:dyDescent="0.25">
      <c r="A183" s="276"/>
      <c r="B183" s="134"/>
      <c r="O183" s="16"/>
      <c r="P183" s="16"/>
      <c r="Q183" s="16"/>
      <c r="R183" s="16"/>
      <c r="S183" s="16"/>
      <c r="T183" s="16"/>
      <c r="U183" s="16"/>
      <c r="V183" s="16"/>
      <c r="W183" s="36"/>
      <c r="AX183" s="96"/>
      <c r="AY183" s="96"/>
      <c r="AZ183" s="96"/>
      <c r="BA183" s="96"/>
      <c r="BB183" s="96"/>
    </row>
    <row r="184" spans="1:54" s="14" customFormat="1" x14ac:dyDescent="0.25">
      <c r="A184" s="276"/>
      <c r="B184" s="134"/>
      <c r="O184" s="16"/>
      <c r="P184" s="16"/>
      <c r="Q184" s="16"/>
      <c r="R184" s="16"/>
      <c r="S184" s="16"/>
      <c r="T184" s="16"/>
      <c r="U184" s="16"/>
      <c r="V184" s="16"/>
      <c r="W184" s="36"/>
      <c r="AX184" s="96"/>
      <c r="AY184" s="96"/>
      <c r="AZ184" s="96"/>
      <c r="BA184" s="96"/>
      <c r="BB184" s="96"/>
    </row>
    <row r="185" spans="1:54" s="14" customFormat="1" x14ac:dyDescent="0.25">
      <c r="A185" s="276"/>
      <c r="B185" s="134"/>
      <c r="O185" s="16"/>
      <c r="P185" s="16"/>
      <c r="Q185" s="16"/>
      <c r="R185" s="16"/>
      <c r="S185" s="16"/>
      <c r="T185" s="16"/>
      <c r="U185" s="16"/>
      <c r="V185" s="16"/>
      <c r="W185" s="36"/>
      <c r="AX185" s="96"/>
      <c r="AY185" s="96"/>
      <c r="AZ185" s="96"/>
      <c r="BA185" s="96"/>
      <c r="BB185" s="96"/>
    </row>
    <row r="186" spans="1:54" s="14" customFormat="1" x14ac:dyDescent="0.25">
      <c r="A186" s="276"/>
      <c r="B186" s="134"/>
      <c r="O186" s="16"/>
      <c r="P186" s="16"/>
      <c r="Q186" s="16"/>
      <c r="R186" s="16"/>
      <c r="S186" s="16"/>
      <c r="T186" s="16"/>
      <c r="U186" s="16"/>
      <c r="V186" s="16"/>
      <c r="W186" s="36"/>
      <c r="AX186" s="96"/>
      <c r="AY186" s="96"/>
      <c r="AZ186" s="96"/>
      <c r="BA186" s="96"/>
      <c r="BB186" s="96"/>
    </row>
    <row r="187" spans="1:54" s="14" customFormat="1" x14ac:dyDescent="0.25">
      <c r="A187" s="276"/>
      <c r="B187" s="134"/>
      <c r="O187" s="16"/>
      <c r="P187" s="16"/>
      <c r="Q187" s="16"/>
      <c r="R187" s="16"/>
      <c r="S187" s="16"/>
      <c r="T187" s="16"/>
      <c r="U187" s="16"/>
      <c r="V187" s="16"/>
      <c r="W187" s="36"/>
      <c r="AX187" s="96"/>
      <c r="AY187" s="96"/>
      <c r="AZ187" s="96"/>
      <c r="BA187" s="96"/>
      <c r="BB187" s="96"/>
    </row>
    <row r="188" spans="1:54" ht="15" customHeight="1" x14ac:dyDescent="0.25">
      <c r="Y188" s="36"/>
      <c r="Z188" s="323" t="s">
        <v>233</v>
      </c>
      <c r="AA188" s="323"/>
      <c r="AB188" s="323"/>
      <c r="AC188" s="323"/>
      <c r="AD188" s="323"/>
      <c r="AE188" s="323"/>
      <c r="AF188" s="323"/>
      <c r="AG188" s="323"/>
    </row>
    <row r="189" spans="1:54" ht="21" customHeight="1" x14ac:dyDescent="0.25">
      <c r="Y189" s="36"/>
      <c r="Z189" s="298" t="s">
        <v>235</v>
      </c>
      <c r="AA189" s="298" t="s">
        <v>402</v>
      </c>
      <c r="AB189" s="298" t="s">
        <v>380</v>
      </c>
      <c r="AC189" s="298" t="s">
        <v>381</v>
      </c>
      <c r="AD189" s="298" t="s">
        <v>382</v>
      </c>
      <c r="AE189" s="298" t="s">
        <v>234</v>
      </c>
      <c r="AF189" s="298" t="s">
        <v>252</v>
      </c>
      <c r="AG189" s="314" t="s">
        <v>54</v>
      </c>
      <c r="AH189" s="298" t="s">
        <v>383</v>
      </c>
    </row>
    <row r="190" spans="1:54" x14ac:dyDescent="0.25">
      <c r="B190" s="365" t="s">
        <v>374</v>
      </c>
      <c r="C190" s="365"/>
      <c r="D190" s="365"/>
      <c r="E190" s="365"/>
      <c r="F190" s="365"/>
      <c r="G190" s="365"/>
      <c r="H190" s="365"/>
      <c r="I190" s="365"/>
      <c r="J190" s="365"/>
      <c r="K190" s="365"/>
      <c r="L190" s="365"/>
      <c r="M190" s="365"/>
      <c r="N190" s="365"/>
      <c r="O190" s="347" t="s">
        <v>428</v>
      </c>
      <c r="P190" s="348"/>
      <c r="Q190" s="348"/>
      <c r="R190" s="348"/>
      <c r="S190" s="348"/>
      <c r="T190" s="348"/>
      <c r="U190" s="348"/>
      <c r="V190" s="349"/>
      <c r="Y190" s="36"/>
      <c r="Z190" s="299"/>
      <c r="AA190" s="299"/>
      <c r="AB190" s="299"/>
      <c r="AC190" s="299"/>
      <c r="AD190" s="299"/>
      <c r="AE190" s="299"/>
      <c r="AF190" s="299"/>
      <c r="AG190" s="315"/>
      <c r="AH190" s="299"/>
    </row>
    <row r="191" spans="1:54" x14ac:dyDescent="0.25">
      <c r="O191" s="350"/>
      <c r="P191" s="351"/>
      <c r="Q191" s="351"/>
      <c r="R191" s="351"/>
      <c r="S191" s="351"/>
      <c r="T191" s="351"/>
      <c r="U191" s="351"/>
      <c r="V191" s="352"/>
      <c r="Y191" s="113" t="s">
        <v>242</v>
      </c>
      <c r="Z191" s="118" t="s">
        <v>245</v>
      </c>
      <c r="AA191" s="118" t="s">
        <v>246</v>
      </c>
      <c r="AB191" s="219" t="s">
        <v>246</v>
      </c>
      <c r="AC191" s="219" t="s">
        <v>246</v>
      </c>
      <c r="AD191" s="219" t="s">
        <v>246</v>
      </c>
      <c r="AE191" s="220"/>
      <c r="AF191" s="220"/>
      <c r="AG191" s="220"/>
      <c r="AH191" s="220"/>
    </row>
    <row r="192" spans="1:54" s="14" customFormat="1" x14ac:dyDescent="0.25">
      <c r="A192" s="276"/>
      <c r="B192" s="300" t="s">
        <v>282</v>
      </c>
      <c r="C192" s="300"/>
      <c r="D192" s="300"/>
      <c r="E192" s="300"/>
      <c r="F192" s="300"/>
      <c r="G192" s="300"/>
      <c r="H192" s="300"/>
      <c r="I192" s="300"/>
      <c r="J192" s="300"/>
      <c r="K192" s="300"/>
      <c r="L192" s="300"/>
      <c r="M192" s="300"/>
      <c r="N192" s="300"/>
      <c r="O192" s="353"/>
      <c r="P192" s="354"/>
      <c r="Q192" s="354"/>
      <c r="R192" s="354"/>
      <c r="S192" s="354"/>
      <c r="T192" s="354"/>
      <c r="U192" s="354"/>
      <c r="V192" s="355"/>
      <c r="W192" s="36"/>
      <c r="Y192" s="221" t="s">
        <v>243</v>
      </c>
      <c r="Z192" s="118" t="s">
        <v>247</v>
      </c>
      <c r="AA192" s="118" t="s">
        <v>248</v>
      </c>
      <c r="AB192" s="118" t="s">
        <v>247</v>
      </c>
      <c r="AC192" s="118" t="s">
        <v>248</v>
      </c>
      <c r="AD192" s="118" t="s">
        <v>247</v>
      </c>
      <c r="AE192" s="220"/>
      <c r="AF192" s="220"/>
      <c r="AG192" s="220"/>
      <c r="AH192" s="220"/>
      <c r="AX192" s="96"/>
      <c r="AY192" s="96"/>
      <c r="AZ192" s="96"/>
      <c r="BA192" s="96"/>
      <c r="BB192" s="96"/>
    </row>
    <row r="193" spans="1:54" ht="15" customHeight="1" x14ac:dyDescent="0.25">
      <c r="B193" s="301" t="s">
        <v>375</v>
      </c>
      <c r="C193" s="303" t="s">
        <v>376</v>
      </c>
      <c r="D193" s="305" t="s">
        <v>377</v>
      </c>
      <c r="E193" s="307" t="s">
        <v>50</v>
      </c>
      <c r="F193" s="303" t="s">
        <v>376</v>
      </c>
      <c r="G193" s="305" t="s">
        <v>377</v>
      </c>
      <c r="H193" s="307" t="s">
        <v>51</v>
      </c>
      <c r="I193" s="303" t="s">
        <v>376</v>
      </c>
      <c r="J193" s="305" t="s">
        <v>377</v>
      </c>
      <c r="K193" s="307" t="s">
        <v>52</v>
      </c>
      <c r="L193" s="309" t="s">
        <v>422</v>
      </c>
      <c r="M193" s="307" t="s">
        <v>54</v>
      </c>
      <c r="N193" s="307" t="s">
        <v>378</v>
      </c>
      <c r="O193" s="311" t="s">
        <v>384</v>
      </c>
      <c r="P193" s="312"/>
      <c r="Q193" s="312"/>
      <c r="W193" s="313" t="s">
        <v>407</v>
      </c>
      <c r="X193" s="313" t="s">
        <v>53</v>
      </c>
      <c r="Y193" s="113" t="s">
        <v>244</v>
      </c>
      <c r="Z193" s="118">
        <v>1</v>
      </c>
      <c r="AA193" s="118">
        <v>1.73</v>
      </c>
      <c r="AB193" s="118">
        <v>2</v>
      </c>
      <c r="AC193" s="118">
        <v>1.73</v>
      </c>
      <c r="AD193" s="118">
        <v>2</v>
      </c>
      <c r="AE193" s="220"/>
      <c r="AF193" s="220"/>
      <c r="AG193" s="220"/>
      <c r="AH193" s="220"/>
      <c r="AJ193" s="316" t="s">
        <v>409</v>
      </c>
      <c r="AK193" s="316"/>
      <c r="AL193" s="316"/>
      <c r="AM193" s="292" t="s">
        <v>415</v>
      </c>
    </row>
    <row r="194" spans="1:54" x14ac:dyDescent="0.25">
      <c r="B194" s="302">
        <v>10</v>
      </c>
      <c r="C194" s="304">
        <v>10</v>
      </c>
      <c r="D194" s="306">
        <v>10</v>
      </c>
      <c r="E194" s="308"/>
      <c r="F194" s="304">
        <v>10</v>
      </c>
      <c r="G194" s="306">
        <v>10</v>
      </c>
      <c r="H194" s="308"/>
      <c r="I194" s="304">
        <v>10</v>
      </c>
      <c r="J194" s="306">
        <v>10</v>
      </c>
      <c r="K194" s="308"/>
      <c r="L194" s="310"/>
      <c r="M194" s="308"/>
      <c r="N194" s="308"/>
      <c r="O194" s="228" t="s">
        <v>230</v>
      </c>
      <c r="P194" s="216" t="s">
        <v>231</v>
      </c>
      <c r="Q194" s="217"/>
      <c r="W194" s="313"/>
      <c r="X194" s="313"/>
      <c r="Y194" s="162" t="s">
        <v>277</v>
      </c>
      <c r="Z194" s="231">
        <v>1.9999999999999999E-6</v>
      </c>
      <c r="AA194" s="118">
        <f>'Calibration Standards'!$I$3</f>
        <v>2E-3</v>
      </c>
      <c r="AB194" s="118">
        <f>'Calibration Standards'!$J$3</f>
        <v>2.5000000000000001E-3</v>
      </c>
      <c r="AC194" s="118">
        <f>$G$19</f>
        <v>0.01</v>
      </c>
      <c r="AD194" s="118">
        <f>ABS(L4-L5)</f>
        <v>0</v>
      </c>
      <c r="AE194" s="220"/>
      <c r="AF194" s="220"/>
      <c r="AG194" s="220"/>
      <c r="AH194" s="220"/>
      <c r="AJ194" s="232" t="s">
        <v>410</v>
      </c>
      <c r="AK194" s="232" t="s">
        <v>411</v>
      </c>
      <c r="AL194" s="232" t="s">
        <v>412</v>
      </c>
      <c r="AM194" s="292"/>
    </row>
    <row r="195" spans="1:54" x14ac:dyDescent="0.25">
      <c r="A195" s="278" t="s">
        <v>424</v>
      </c>
      <c r="B195" s="226">
        <v>10</v>
      </c>
      <c r="C195" s="288"/>
      <c r="D195" s="289"/>
      <c r="E195" s="225" t="str">
        <f>IFERROR((C195-D195)/C195,"-")</f>
        <v>-</v>
      </c>
      <c r="F195" s="290"/>
      <c r="G195" s="291"/>
      <c r="H195" s="225" t="str">
        <f>IFERROR((F195-G195)/F195,"-")</f>
        <v>-</v>
      </c>
      <c r="I195" s="290"/>
      <c r="J195" s="291"/>
      <c r="K195" s="225" t="str">
        <f>IFERROR((I195-J195)/I195,"-")</f>
        <v>-</v>
      </c>
      <c r="L195" s="218" t="e">
        <f>ABS(E195-H195)</f>
        <v>#VALUE!</v>
      </c>
      <c r="M195" s="239" t="str">
        <f>IFERROR(AG195,"-")</f>
        <v>-</v>
      </c>
      <c r="N195" s="239" t="str">
        <f>IFERROR(AH195,"-")</f>
        <v>-</v>
      </c>
      <c r="O195" s="227">
        <f>(C195+F195+I195)/3</f>
        <v>0</v>
      </c>
      <c r="P195" s="227">
        <f>(D195+G195+J195)/3</f>
        <v>0</v>
      </c>
      <c r="Q195" s="215"/>
      <c r="W195" s="159">
        <f t="shared" ref="W195:W199" si="138">O195-P195</f>
        <v>0</v>
      </c>
      <c r="X195" s="187" t="str">
        <f>IFERROR(W195/O195,"-")</f>
        <v>-</v>
      </c>
      <c r="Y195" s="222"/>
      <c r="Z195" s="120" t="e">
        <f>ABS((X195*O195)/$Z$193)^2</f>
        <v>#VALUE!</v>
      </c>
      <c r="AA195" s="23">
        <f>($AA$194/$AA$193)^2</f>
        <v>1.3364963747535836E-6</v>
      </c>
      <c r="AB195" s="23">
        <f>($AB$194/$AB$193)^2</f>
        <v>1.5625000000000001E-6</v>
      </c>
      <c r="AC195" s="23">
        <f>($AC$194/$AC$193)^2</f>
        <v>3.3412409368839592E-5</v>
      </c>
      <c r="AD195" s="23">
        <f>($AD$194*0.0003*(O195/25.4))^2</f>
        <v>0</v>
      </c>
      <c r="AE195" s="23" t="e">
        <f>SUM(Z195:AD195)</f>
        <v>#VALUE!</v>
      </c>
      <c r="AF195" s="23" t="e">
        <f>SQRT(AE195)</f>
        <v>#VALUE!</v>
      </c>
      <c r="AG195" s="238" t="e">
        <f>AH195/O195</f>
        <v>#VALUE!</v>
      </c>
      <c r="AH195" s="237" t="e">
        <f>AF195*2</f>
        <v>#VALUE!</v>
      </c>
      <c r="AJ195" s="254">
        <f>ABS(C195-D195)</f>
        <v>0</v>
      </c>
      <c r="AK195" s="254">
        <f>ABS(F195-G195)</f>
        <v>0</v>
      </c>
      <c r="AL195" s="254">
        <f>ABS(I195-J195)</f>
        <v>0</v>
      </c>
      <c r="AM195" s="237">
        <f>ABS(AJ195-AK195)</f>
        <v>0</v>
      </c>
    </row>
    <row r="196" spans="1:54" x14ac:dyDescent="0.25">
      <c r="A196" s="278" t="s">
        <v>424</v>
      </c>
      <c r="B196" s="226">
        <v>20</v>
      </c>
      <c r="C196" s="290"/>
      <c r="D196" s="289"/>
      <c r="E196" s="225" t="str">
        <f t="shared" ref="E196:E199" si="139">IFERROR((C196-D196)/C196,"-")</f>
        <v>-</v>
      </c>
      <c r="F196" s="290"/>
      <c r="G196" s="291"/>
      <c r="H196" s="225" t="str">
        <f t="shared" ref="H196:H199" si="140">IFERROR((F196-G196)/F196,"-")</f>
        <v>-</v>
      </c>
      <c r="I196" s="290"/>
      <c r="J196" s="291"/>
      <c r="K196" s="225" t="str">
        <f t="shared" ref="K196:K199" si="141">IFERROR((I196-J196)/I196,"-")</f>
        <v>-</v>
      </c>
      <c r="L196" s="218" t="e">
        <f t="shared" ref="L196:L199" si="142">ABS(E196-H196)</f>
        <v>#VALUE!</v>
      </c>
      <c r="M196" s="239" t="str">
        <f t="shared" ref="M196:M199" si="143">IFERROR(AG196,"-")</f>
        <v>-</v>
      </c>
      <c r="N196" s="239" t="str">
        <f t="shared" ref="N196:N199" si="144">IFERROR(AH196,"-")</f>
        <v>-</v>
      </c>
      <c r="O196" s="227">
        <f t="shared" ref="O196:O199" si="145">(C196+F196+I196)/3</f>
        <v>0</v>
      </c>
      <c r="P196" s="227">
        <f t="shared" ref="P196:P199" si="146">(D196+G196+J196)/3</f>
        <v>0</v>
      </c>
      <c r="Q196" s="215"/>
      <c r="W196" s="159">
        <f t="shared" si="138"/>
        <v>0</v>
      </c>
      <c r="X196" s="187" t="str">
        <f t="shared" ref="X196:X199" si="147">IFERROR(W196/O196,"-")</f>
        <v>-</v>
      </c>
      <c r="Y196" s="222"/>
      <c r="Z196" s="120" t="e">
        <f t="shared" ref="Z196:Z199" si="148">ABS((X196*O196)/$Z$193)^2</f>
        <v>#VALUE!</v>
      </c>
      <c r="AA196" s="23">
        <f>($AA$194/$AA$193)^2</f>
        <v>1.3364963747535836E-6</v>
      </c>
      <c r="AB196" s="23">
        <f>($AB$194/$AB$193)^2</f>
        <v>1.5625000000000001E-6</v>
      </c>
      <c r="AC196" s="23">
        <f>($AC$194/$AC$193)^2</f>
        <v>3.3412409368839592E-5</v>
      </c>
      <c r="AD196" s="23">
        <f t="shared" ref="AD196:AD199" si="149">($AD$194*0.0003*(O196/25.4))^2</f>
        <v>0</v>
      </c>
      <c r="AE196" s="23" t="e">
        <f t="shared" ref="AE196:AE199" si="150">SUM(Z196:AD196)</f>
        <v>#VALUE!</v>
      </c>
      <c r="AF196" s="23" t="e">
        <f t="shared" ref="AF196:AF199" si="151">SQRT(AE196)</f>
        <v>#VALUE!</v>
      </c>
      <c r="AG196" s="238" t="e">
        <f t="shared" ref="AG196:AG199" si="152">AH196/O196</f>
        <v>#VALUE!</v>
      </c>
      <c r="AH196" s="237" t="e">
        <f t="shared" ref="AH196:AH199" si="153">AF196*2</f>
        <v>#VALUE!</v>
      </c>
      <c r="AJ196" s="254">
        <f t="shared" ref="AJ196:AJ199" si="154">ABS(C196-D196)</f>
        <v>0</v>
      </c>
      <c r="AK196" s="254">
        <f t="shared" ref="AK196:AK199" si="155">ABS(F196-G196)</f>
        <v>0</v>
      </c>
      <c r="AL196" s="254">
        <f t="shared" ref="AL196:AL199" si="156">ABS(I196-J196)</f>
        <v>0</v>
      </c>
      <c r="AM196" s="237">
        <f>ABS(AJ196-AK196)</f>
        <v>0</v>
      </c>
    </row>
    <row r="197" spans="1:54" x14ac:dyDescent="0.25">
      <c r="A197" s="278" t="s">
        <v>424</v>
      </c>
      <c r="B197" s="226">
        <v>30</v>
      </c>
      <c r="C197" s="290"/>
      <c r="D197" s="289"/>
      <c r="E197" s="225" t="str">
        <f t="shared" si="139"/>
        <v>-</v>
      </c>
      <c r="F197" s="290"/>
      <c r="G197" s="291"/>
      <c r="H197" s="225" t="str">
        <f t="shared" si="140"/>
        <v>-</v>
      </c>
      <c r="I197" s="290"/>
      <c r="J197" s="291"/>
      <c r="K197" s="225" t="str">
        <f t="shared" si="141"/>
        <v>-</v>
      </c>
      <c r="L197" s="218" t="e">
        <f t="shared" si="142"/>
        <v>#VALUE!</v>
      </c>
      <c r="M197" s="239" t="str">
        <f t="shared" si="143"/>
        <v>-</v>
      </c>
      <c r="N197" s="239" t="str">
        <f t="shared" si="144"/>
        <v>-</v>
      </c>
      <c r="O197" s="227">
        <f t="shared" si="145"/>
        <v>0</v>
      </c>
      <c r="P197" s="227">
        <f t="shared" si="146"/>
        <v>0</v>
      </c>
      <c r="Q197" s="215"/>
      <c r="W197" s="159">
        <f t="shared" si="138"/>
        <v>0</v>
      </c>
      <c r="X197" s="187" t="str">
        <f t="shared" si="147"/>
        <v>-</v>
      </c>
      <c r="Y197" s="222"/>
      <c r="Z197" s="120" t="e">
        <f t="shared" si="148"/>
        <v>#VALUE!</v>
      </c>
      <c r="AA197" s="23">
        <f>($AA$194/$AA$193)^2</f>
        <v>1.3364963747535836E-6</v>
      </c>
      <c r="AB197" s="23">
        <f>($AB$194/$AB$193)^2</f>
        <v>1.5625000000000001E-6</v>
      </c>
      <c r="AC197" s="23">
        <f>($AC$194/$AC$193)^2</f>
        <v>3.3412409368839592E-5</v>
      </c>
      <c r="AD197" s="23">
        <f t="shared" si="149"/>
        <v>0</v>
      </c>
      <c r="AE197" s="23" t="e">
        <f t="shared" si="150"/>
        <v>#VALUE!</v>
      </c>
      <c r="AF197" s="23" t="e">
        <f t="shared" si="151"/>
        <v>#VALUE!</v>
      </c>
      <c r="AG197" s="238" t="e">
        <f t="shared" si="152"/>
        <v>#VALUE!</v>
      </c>
      <c r="AH197" s="237" t="e">
        <f t="shared" si="153"/>
        <v>#VALUE!</v>
      </c>
      <c r="AJ197" s="254">
        <f t="shared" si="154"/>
        <v>0</v>
      </c>
      <c r="AK197" s="254">
        <f t="shared" si="155"/>
        <v>0</v>
      </c>
      <c r="AL197" s="254">
        <f t="shared" si="156"/>
        <v>0</v>
      </c>
      <c r="AM197" s="237">
        <f>ABS(AJ197-AK197)</f>
        <v>0</v>
      </c>
    </row>
    <row r="198" spans="1:54" x14ac:dyDescent="0.25">
      <c r="A198" s="278" t="s">
        <v>424</v>
      </c>
      <c r="B198" s="226">
        <v>40</v>
      </c>
      <c r="C198" s="290"/>
      <c r="D198" s="289"/>
      <c r="E198" s="225" t="str">
        <f t="shared" si="139"/>
        <v>-</v>
      </c>
      <c r="F198" s="290"/>
      <c r="G198" s="291"/>
      <c r="H198" s="225" t="str">
        <f t="shared" si="140"/>
        <v>-</v>
      </c>
      <c r="I198" s="290"/>
      <c r="J198" s="291"/>
      <c r="K198" s="225" t="str">
        <f t="shared" si="141"/>
        <v>-</v>
      </c>
      <c r="L198" s="218" t="e">
        <f t="shared" si="142"/>
        <v>#VALUE!</v>
      </c>
      <c r="M198" s="239" t="str">
        <f t="shared" si="143"/>
        <v>-</v>
      </c>
      <c r="N198" s="239" t="str">
        <f t="shared" si="144"/>
        <v>-</v>
      </c>
      <c r="O198" s="227">
        <f t="shared" si="145"/>
        <v>0</v>
      </c>
      <c r="P198" s="227">
        <f t="shared" si="146"/>
        <v>0</v>
      </c>
      <c r="Q198" s="215"/>
      <c r="W198" s="159">
        <f t="shared" si="138"/>
        <v>0</v>
      </c>
      <c r="X198" s="187" t="str">
        <f t="shared" si="147"/>
        <v>-</v>
      </c>
      <c r="Y198" s="222"/>
      <c r="Z198" s="120" t="e">
        <f t="shared" si="148"/>
        <v>#VALUE!</v>
      </c>
      <c r="AA198" s="23">
        <f>($AA$194/$AA$193)^2</f>
        <v>1.3364963747535836E-6</v>
      </c>
      <c r="AB198" s="23">
        <f>($AB$194/$AB$193)^2</f>
        <v>1.5625000000000001E-6</v>
      </c>
      <c r="AC198" s="23">
        <f>($AC$194/$AC$193)^2</f>
        <v>3.3412409368839592E-5</v>
      </c>
      <c r="AD198" s="23">
        <f t="shared" si="149"/>
        <v>0</v>
      </c>
      <c r="AE198" s="23" t="e">
        <f t="shared" si="150"/>
        <v>#VALUE!</v>
      </c>
      <c r="AF198" s="23" t="e">
        <f t="shared" si="151"/>
        <v>#VALUE!</v>
      </c>
      <c r="AG198" s="238" t="e">
        <f t="shared" si="152"/>
        <v>#VALUE!</v>
      </c>
      <c r="AH198" s="237" t="e">
        <f t="shared" si="153"/>
        <v>#VALUE!</v>
      </c>
      <c r="AJ198" s="254">
        <f t="shared" si="154"/>
        <v>0</v>
      </c>
      <c r="AK198" s="254">
        <f t="shared" si="155"/>
        <v>0</v>
      </c>
      <c r="AL198" s="254">
        <f t="shared" si="156"/>
        <v>0</v>
      </c>
      <c r="AM198" s="237">
        <f>ABS(AJ198-AK198)</f>
        <v>0</v>
      </c>
    </row>
    <row r="199" spans="1:54" x14ac:dyDescent="0.25">
      <c r="A199" s="278" t="s">
        <v>424</v>
      </c>
      <c r="B199" s="226">
        <v>50</v>
      </c>
      <c r="C199" s="290"/>
      <c r="D199" s="289"/>
      <c r="E199" s="225" t="str">
        <f t="shared" si="139"/>
        <v>-</v>
      </c>
      <c r="F199" s="290"/>
      <c r="G199" s="291"/>
      <c r="H199" s="225" t="str">
        <f t="shared" si="140"/>
        <v>-</v>
      </c>
      <c r="I199" s="290"/>
      <c r="J199" s="291"/>
      <c r="K199" s="225" t="str">
        <f t="shared" si="141"/>
        <v>-</v>
      </c>
      <c r="L199" s="218" t="e">
        <f t="shared" si="142"/>
        <v>#VALUE!</v>
      </c>
      <c r="M199" s="239" t="str">
        <f t="shared" si="143"/>
        <v>-</v>
      </c>
      <c r="N199" s="239" t="str">
        <f t="shared" si="144"/>
        <v>-</v>
      </c>
      <c r="O199" s="227">
        <f t="shared" si="145"/>
        <v>0</v>
      </c>
      <c r="P199" s="227">
        <f t="shared" si="146"/>
        <v>0</v>
      </c>
      <c r="Q199" s="215"/>
      <c r="W199" s="159">
        <f t="shared" si="138"/>
        <v>0</v>
      </c>
      <c r="X199" s="187" t="str">
        <f t="shared" si="147"/>
        <v>-</v>
      </c>
      <c r="Y199" s="222"/>
      <c r="Z199" s="120" t="e">
        <f t="shared" si="148"/>
        <v>#VALUE!</v>
      </c>
      <c r="AA199" s="23">
        <f>($AA$194/$AA$193)^2</f>
        <v>1.3364963747535836E-6</v>
      </c>
      <c r="AB199" s="23">
        <f>($AB$194/$AB$193)^2</f>
        <v>1.5625000000000001E-6</v>
      </c>
      <c r="AC199" s="23">
        <f>($AC$194/$AC$193)^2</f>
        <v>3.3412409368839592E-5</v>
      </c>
      <c r="AD199" s="23">
        <f t="shared" si="149"/>
        <v>0</v>
      </c>
      <c r="AE199" s="23" t="e">
        <f t="shared" si="150"/>
        <v>#VALUE!</v>
      </c>
      <c r="AF199" s="23" t="e">
        <f t="shared" si="151"/>
        <v>#VALUE!</v>
      </c>
      <c r="AG199" s="238" t="e">
        <f t="shared" si="152"/>
        <v>#VALUE!</v>
      </c>
      <c r="AH199" s="237" t="e">
        <f t="shared" si="153"/>
        <v>#VALUE!</v>
      </c>
      <c r="AJ199" s="254">
        <f t="shared" si="154"/>
        <v>0</v>
      </c>
      <c r="AK199" s="254">
        <f t="shared" si="155"/>
        <v>0</v>
      </c>
      <c r="AL199" s="254">
        <f t="shared" si="156"/>
        <v>0</v>
      </c>
      <c r="AM199" s="237">
        <f>ABS(AJ199-AK199)</f>
        <v>0</v>
      </c>
    </row>
    <row r="200" spans="1:54" ht="15" customHeight="1" x14ac:dyDescent="0.25">
      <c r="B200" s="14"/>
      <c r="C200" s="14"/>
      <c r="D200" s="14"/>
      <c r="E200" s="14"/>
      <c r="F200" s="14"/>
      <c r="G200" s="14"/>
      <c r="H200" s="14"/>
      <c r="I200" s="14"/>
      <c r="J200" s="14"/>
      <c r="K200" s="14"/>
      <c r="Y200" s="36"/>
      <c r="Z200" s="323" t="s">
        <v>233</v>
      </c>
      <c r="AA200" s="323"/>
      <c r="AB200" s="323"/>
      <c r="AC200" s="323"/>
      <c r="AD200" s="323"/>
      <c r="AE200" s="323"/>
      <c r="AF200" s="323"/>
      <c r="AG200" s="323"/>
      <c r="AJ200" s="255"/>
      <c r="AK200" s="255"/>
      <c r="AL200" s="255"/>
    </row>
    <row r="201" spans="1:54" x14ac:dyDescent="0.25">
      <c r="B201" s="14"/>
      <c r="C201" s="14"/>
      <c r="D201" s="14"/>
      <c r="E201" s="14"/>
      <c r="F201" s="14"/>
      <c r="G201" s="14"/>
      <c r="H201" s="14"/>
      <c r="I201" s="14"/>
      <c r="J201" s="14"/>
      <c r="K201" s="14"/>
      <c r="Y201" s="36"/>
      <c r="Z201" s="298" t="s">
        <v>235</v>
      </c>
      <c r="AA201" s="298" t="s">
        <v>402</v>
      </c>
      <c r="AB201" s="298" t="s">
        <v>380</v>
      </c>
      <c r="AC201" s="298" t="s">
        <v>381</v>
      </c>
      <c r="AD201" s="298" t="s">
        <v>382</v>
      </c>
      <c r="AE201" s="298" t="s">
        <v>234</v>
      </c>
      <c r="AF201" s="298" t="s">
        <v>252</v>
      </c>
      <c r="AG201" s="314" t="s">
        <v>54</v>
      </c>
      <c r="AH201" s="298" t="s">
        <v>383</v>
      </c>
      <c r="AJ201" s="255"/>
      <c r="AK201" s="255"/>
      <c r="AL201" s="255"/>
    </row>
    <row r="202" spans="1:54" x14ac:dyDescent="0.25">
      <c r="B202" s="14"/>
      <c r="C202" s="14"/>
      <c r="D202" s="14"/>
      <c r="E202" s="14"/>
      <c r="F202" s="14"/>
      <c r="G202" s="14"/>
      <c r="H202" s="14"/>
      <c r="I202" s="14"/>
      <c r="J202" s="14"/>
      <c r="K202" s="14"/>
      <c r="Y202" s="36"/>
      <c r="Z202" s="299"/>
      <c r="AA202" s="299"/>
      <c r="AB202" s="299"/>
      <c r="AC202" s="299"/>
      <c r="AD202" s="299"/>
      <c r="AE202" s="299"/>
      <c r="AF202" s="299"/>
      <c r="AG202" s="315"/>
      <c r="AH202" s="299"/>
      <c r="AJ202" s="255"/>
      <c r="AK202" s="255"/>
      <c r="AL202" s="255"/>
    </row>
    <row r="203" spans="1:54" x14ac:dyDescent="0.25">
      <c r="B203" s="300"/>
      <c r="C203" s="300"/>
      <c r="D203" s="300"/>
      <c r="E203" s="300"/>
      <c r="F203" s="300"/>
      <c r="G203" s="300"/>
      <c r="H203" s="300"/>
      <c r="I203" s="300"/>
      <c r="J203" s="300"/>
      <c r="K203" s="300"/>
      <c r="L203" s="300"/>
      <c r="M203" s="300"/>
      <c r="N203" s="300"/>
      <c r="Y203" s="113" t="s">
        <v>242</v>
      </c>
      <c r="Z203" s="118" t="s">
        <v>245</v>
      </c>
      <c r="AA203" s="118" t="s">
        <v>246</v>
      </c>
      <c r="AB203" s="219" t="s">
        <v>246</v>
      </c>
      <c r="AC203" s="219" t="s">
        <v>246</v>
      </c>
      <c r="AD203" s="219" t="s">
        <v>246</v>
      </c>
      <c r="AE203" s="220"/>
      <c r="AF203" s="220"/>
      <c r="AG203" s="220"/>
      <c r="AH203" s="220"/>
      <c r="AJ203" s="255"/>
      <c r="AK203" s="255"/>
      <c r="AL203" s="255"/>
    </row>
    <row r="204" spans="1:54" ht="15" customHeight="1" x14ac:dyDescent="0.25">
      <c r="B204" s="300" t="s">
        <v>283</v>
      </c>
      <c r="C204" s="300"/>
      <c r="D204" s="300"/>
      <c r="E204" s="300"/>
      <c r="F204" s="300"/>
      <c r="G204" s="300"/>
      <c r="H204" s="300"/>
      <c r="I204" s="300"/>
      <c r="J204" s="300"/>
      <c r="K204" s="300"/>
      <c r="L204" s="300"/>
      <c r="M204" s="300"/>
      <c r="N204" s="300"/>
      <c r="X204" s="14"/>
      <c r="Y204" s="221" t="s">
        <v>243</v>
      </c>
      <c r="Z204" s="118" t="s">
        <v>247</v>
      </c>
      <c r="AA204" s="118" t="s">
        <v>248</v>
      </c>
      <c r="AB204" s="118" t="s">
        <v>247</v>
      </c>
      <c r="AC204" s="118" t="s">
        <v>248</v>
      </c>
      <c r="AD204" s="118" t="s">
        <v>247</v>
      </c>
      <c r="AE204" s="220"/>
      <c r="AF204" s="220"/>
      <c r="AG204" s="220"/>
      <c r="AH204" s="220"/>
      <c r="AJ204" s="255"/>
      <c r="AK204" s="255"/>
      <c r="AL204" s="255"/>
    </row>
    <row r="205" spans="1:54" ht="15" customHeight="1" x14ac:dyDescent="0.25">
      <c r="B205" s="301" t="s">
        <v>375</v>
      </c>
      <c r="C205" s="303" t="s">
        <v>376</v>
      </c>
      <c r="D205" s="305" t="s">
        <v>377</v>
      </c>
      <c r="E205" s="307" t="s">
        <v>50</v>
      </c>
      <c r="F205" s="303" t="s">
        <v>376</v>
      </c>
      <c r="G205" s="305" t="s">
        <v>377</v>
      </c>
      <c r="H205" s="307" t="s">
        <v>51</v>
      </c>
      <c r="I205" s="303" t="s">
        <v>376</v>
      </c>
      <c r="J205" s="305" t="s">
        <v>377</v>
      </c>
      <c r="K205" s="307" t="s">
        <v>52</v>
      </c>
      <c r="L205" s="309" t="s">
        <v>422</v>
      </c>
      <c r="M205" s="307" t="s">
        <v>54</v>
      </c>
      <c r="N205" s="307" t="s">
        <v>378</v>
      </c>
      <c r="O205" s="311" t="s">
        <v>384</v>
      </c>
      <c r="P205" s="312"/>
      <c r="Q205" s="312"/>
      <c r="W205" s="313" t="s">
        <v>407</v>
      </c>
      <c r="X205" s="313" t="s">
        <v>53</v>
      </c>
      <c r="Y205" s="113" t="s">
        <v>244</v>
      </c>
      <c r="Z205" s="118">
        <v>1</v>
      </c>
      <c r="AA205" s="118">
        <v>1.73</v>
      </c>
      <c r="AB205" s="118">
        <v>2</v>
      </c>
      <c r="AC205" s="118">
        <v>1.73</v>
      </c>
      <c r="AD205" s="118">
        <v>2</v>
      </c>
      <c r="AE205" s="220"/>
      <c r="AF205" s="220"/>
      <c r="AG205" s="220"/>
      <c r="AH205" s="220"/>
      <c r="AJ205" s="316" t="s">
        <v>409</v>
      </c>
      <c r="AK205" s="316"/>
      <c r="AL205" s="316"/>
      <c r="AM205" s="292" t="s">
        <v>415</v>
      </c>
    </row>
    <row r="206" spans="1:54" s="14" customFormat="1" x14ac:dyDescent="0.25">
      <c r="A206" s="276"/>
      <c r="B206" s="302">
        <v>10</v>
      </c>
      <c r="C206" s="304">
        <v>10</v>
      </c>
      <c r="D206" s="306">
        <v>10</v>
      </c>
      <c r="E206" s="308"/>
      <c r="F206" s="304">
        <v>10</v>
      </c>
      <c r="G206" s="306">
        <v>10</v>
      </c>
      <c r="H206" s="308"/>
      <c r="I206" s="304">
        <v>10</v>
      </c>
      <c r="J206" s="306">
        <v>10</v>
      </c>
      <c r="K206" s="308"/>
      <c r="L206" s="310"/>
      <c r="M206" s="308"/>
      <c r="N206" s="308"/>
      <c r="O206" s="228" t="s">
        <v>230</v>
      </c>
      <c r="P206" s="233" t="s">
        <v>231</v>
      </c>
      <c r="Q206" s="234"/>
      <c r="R206" s="16"/>
      <c r="S206" s="16"/>
      <c r="T206" s="16"/>
      <c r="U206" s="16"/>
      <c r="V206" s="16"/>
      <c r="W206" s="313"/>
      <c r="X206" s="313"/>
      <c r="Y206" s="162" t="s">
        <v>277</v>
      </c>
      <c r="Z206" s="231">
        <v>1.9999999999999999E-6</v>
      </c>
      <c r="AA206" s="118">
        <f>'Calibration Standards'!$I$3</f>
        <v>2E-3</v>
      </c>
      <c r="AB206" s="118">
        <f>'Calibration Standards'!$J$3</f>
        <v>2.5000000000000001E-3</v>
      </c>
      <c r="AC206" s="118">
        <f>$G$19</f>
        <v>0.01</v>
      </c>
      <c r="AD206" s="118">
        <f>ABS(L17-L18)</f>
        <v>0</v>
      </c>
      <c r="AE206" s="220"/>
      <c r="AF206" s="220"/>
      <c r="AG206" s="220"/>
      <c r="AH206" s="220"/>
      <c r="AJ206" s="232" t="s">
        <v>410</v>
      </c>
      <c r="AK206" s="232" t="s">
        <v>411</v>
      </c>
      <c r="AL206" s="232" t="s">
        <v>412</v>
      </c>
      <c r="AM206" s="292"/>
      <c r="AX206" s="96"/>
      <c r="AY206" s="96"/>
      <c r="AZ206" s="96"/>
      <c r="BA206" s="96"/>
      <c r="BB206" s="96"/>
    </row>
    <row r="207" spans="1:54" s="14" customFormat="1" x14ac:dyDescent="0.25">
      <c r="A207" s="278" t="s">
        <v>424</v>
      </c>
      <c r="B207" s="226">
        <v>10</v>
      </c>
      <c r="C207" s="288"/>
      <c r="D207" s="289"/>
      <c r="E207" s="225" t="str">
        <f>IFERROR((C207-D207)/C207,"-")</f>
        <v>-</v>
      </c>
      <c r="F207" s="290"/>
      <c r="G207" s="291"/>
      <c r="H207" s="225" t="str">
        <f>IFERROR((F207-G207)/F207,"-")</f>
        <v>-</v>
      </c>
      <c r="I207" s="290"/>
      <c r="J207" s="291"/>
      <c r="K207" s="225" t="str">
        <f>IFERROR((I207-J207)/I207,"-")</f>
        <v>-</v>
      </c>
      <c r="L207" s="218" t="e">
        <f>ABS(E207-H207)</f>
        <v>#VALUE!</v>
      </c>
      <c r="M207" s="239" t="str">
        <f>IFERROR(AG207,"-")</f>
        <v>-</v>
      </c>
      <c r="N207" s="239" t="str">
        <f>IFERROR(AH207,"-")</f>
        <v>-</v>
      </c>
      <c r="O207" s="227">
        <f>(C207+F207+I207)/3</f>
        <v>0</v>
      </c>
      <c r="P207" s="227">
        <f>(D207+G207+J207)/3</f>
        <v>0</v>
      </c>
      <c r="Q207" s="232"/>
      <c r="R207" s="16"/>
      <c r="S207" s="16"/>
      <c r="T207" s="16"/>
      <c r="U207" s="16"/>
      <c r="V207" s="16"/>
      <c r="W207" s="159">
        <f t="shared" ref="W207:W211" si="157">O207-P207</f>
        <v>0</v>
      </c>
      <c r="X207" s="187" t="str">
        <f>IFERROR(W207/O207,"-")</f>
        <v>-</v>
      </c>
      <c r="Y207" s="222"/>
      <c r="Z207" s="120" t="e">
        <f>ABS((X207*O207)/$Z$193)^2</f>
        <v>#VALUE!</v>
      </c>
      <c r="AA207" s="23">
        <f>($AA$194/$AA$193)^2</f>
        <v>1.3364963747535836E-6</v>
      </c>
      <c r="AB207" s="23">
        <f>($AB$194/$AB$193)^2</f>
        <v>1.5625000000000001E-6</v>
      </c>
      <c r="AC207" s="23">
        <f>($AC$194/$AC$193)^2</f>
        <v>3.3412409368839592E-5</v>
      </c>
      <c r="AD207" s="23">
        <f>($AD$194*0.0003*(O207/25.4))^2</f>
        <v>0</v>
      </c>
      <c r="AE207" s="23" t="e">
        <f>SUM(Z207:AD207)</f>
        <v>#VALUE!</v>
      </c>
      <c r="AF207" s="23" t="e">
        <f>SQRT(AE207)</f>
        <v>#VALUE!</v>
      </c>
      <c r="AG207" s="238" t="e">
        <f>AH207/O207</f>
        <v>#VALUE!</v>
      </c>
      <c r="AH207" s="237" t="e">
        <f>AF207*2</f>
        <v>#VALUE!</v>
      </c>
      <c r="AJ207" s="254">
        <f>ABS(C207-D207)</f>
        <v>0</v>
      </c>
      <c r="AK207" s="254">
        <f>ABS(F207-G207)</f>
        <v>0</v>
      </c>
      <c r="AL207" s="254">
        <f>ABS(I207-J207)</f>
        <v>0</v>
      </c>
      <c r="AM207" s="237">
        <f>ABS(AJ207-AK207)</f>
        <v>0</v>
      </c>
      <c r="AX207" s="96"/>
      <c r="AY207" s="96"/>
      <c r="AZ207" s="96"/>
      <c r="BA207" s="96"/>
      <c r="BB207" s="96"/>
    </row>
    <row r="208" spans="1:54" s="14" customFormat="1" x14ac:dyDescent="0.25">
      <c r="A208" s="278" t="s">
        <v>424</v>
      </c>
      <c r="B208" s="226">
        <v>20</v>
      </c>
      <c r="C208" s="290"/>
      <c r="D208" s="289"/>
      <c r="E208" s="225" t="str">
        <f t="shared" ref="E208:E211" si="158">IFERROR((C208-D208)/C208,"-")</f>
        <v>-</v>
      </c>
      <c r="F208" s="290"/>
      <c r="G208" s="291"/>
      <c r="H208" s="225" t="str">
        <f t="shared" ref="H208:H211" si="159">IFERROR((F208-G208)/F208,"-")</f>
        <v>-</v>
      </c>
      <c r="I208" s="290"/>
      <c r="J208" s="291"/>
      <c r="K208" s="225" t="str">
        <f t="shared" ref="K208:K211" si="160">IFERROR((I208-J208)/I208,"-")</f>
        <v>-</v>
      </c>
      <c r="L208" s="218" t="e">
        <f t="shared" ref="L208:L211" si="161">ABS(E208-H208)</f>
        <v>#VALUE!</v>
      </c>
      <c r="M208" s="239" t="str">
        <f t="shared" ref="M208:M211" si="162">IFERROR(AG208,"-")</f>
        <v>-</v>
      </c>
      <c r="N208" s="239" t="str">
        <f t="shared" ref="N208:N211" si="163">IFERROR(AH208,"-")</f>
        <v>-</v>
      </c>
      <c r="O208" s="227">
        <f t="shared" ref="O208:O211" si="164">(C208+F208+I208)/3</f>
        <v>0</v>
      </c>
      <c r="P208" s="227">
        <f t="shared" ref="P208:P211" si="165">(D208+G208+J208)/3</f>
        <v>0</v>
      </c>
      <c r="Q208" s="232"/>
      <c r="R208" s="16"/>
      <c r="S208" s="16"/>
      <c r="T208" s="16"/>
      <c r="U208" s="16"/>
      <c r="V208" s="16"/>
      <c r="W208" s="159">
        <f t="shared" si="157"/>
        <v>0</v>
      </c>
      <c r="X208" s="187" t="str">
        <f t="shared" ref="X208:X211" si="166">IFERROR(W208/O208,"-")</f>
        <v>-</v>
      </c>
      <c r="Y208" s="222"/>
      <c r="Z208" s="120" t="e">
        <f t="shared" ref="Z208:Z211" si="167">ABS((X208*O208)/$Z$193)^2</f>
        <v>#VALUE!</v>
      </c>
      <c r="AA208" s="23">
        <f>($AA$194/$AA$193)^2</f>
        <v>1.3364963747535836E-6</v>
      </c>
      <c r="AB208" s="23">
        <f>($AB$194/$AB$193)^2</f>
        <v>1.5625000000000001E-6</v>
      </c>
      <c r="AC208" s="23">
        <f>($AC$194/$AC$193)^2</f>
        <v>3.3412409368839592E-5</v>
      </c>
      <c r="AD208" s="23">
        <f t="shared" ref="AD208:AD211" si="168">($AD$194*0.0003*(O208/25.4))^2</f>
        <v>0</v>
      </c>
      <c r="AE208" s="23" t="e">
        <f t="shared" ref="AE208:AE211" si="169">SUM(Z208:AD208)</f>
        <v>#VALUE!</v>
      </c>
      <c r="AF208" s="23" t="e">
        <f t="shared" ref="AF208:AF211" si="170">SQRT(AE208)</f>
        <v>#VALUE!</v>
      </c>
      <c r="AG208" s="238" t="e">
        <f t="shared" ref="AG208:AG211" si="171">AH208/O208</f>
        <v>#VALUE!</v>
      </c>
      <c r="AH208" s="237" t="e">
        <f t="shared" ref="AH208:AH211" si="172">AF208*2</f>
        <v>#VALUE!</v>
      </c>
      <c r="AJ208" s="254">
        <f t="shared" ref="AJ208:AJ211" si="173">ABS(C208-D208)</f>
        <v>0</v>
      </c>
      <c r="AK208" s="254">
        <f t="shared" ref="AK208:AK211" si="174">ABS(F208-G208)</f>
        <v>0</v>
      </c>
      <c r="AL208" s="254">
        <f t="shared" ref="AL208:AL211" si="175">ABS(I208-J208)</f>
        <v>0</v>
      </c>
      <c r="AM208" s="237">
        <f>ABS(AJ208-AK208)</f>
        <v>0</v>
      </c>
      <c r="AX208" s="96"/>
      <c r="AY208" s="96"/>
      <c r="AZ208" s="96"/>
      <c r="BA208" s="96"/>
      <c r="BB208" s="96"/>
    </row>
    <row r="209" spans="1:54" s="14" customFormat="1" x14ac:dyDescent="0.25">
      <c r="A209" s="278" t="s">
        <v>424</v>
      </c>
      <c r="B209" s="226">
        <v>30</v>
      </c>
      <c r="C209" s="290"/>
      <c r="D209" s="289"/>
      <c r="E209" s="225" t="str">
        <f t="shared" si="158"/>
        <v>-</v>
      </c>
      <c r="F209" s="290"/>
      <c r="G209" s="291"/>
      <c r="H209" s="225" t="str">
        <f t="shared" si="159"/>
        <v>-</v>
      </c>
      <c r="I209" s="290"/>
      <c r="J209" s="291"/>
      <c r="K209" s="225" t="str">
        <f t="shared" si="160"/>
        <v>-</v>
      </c>
      <c r="L209" s="218" t="e">
        <f t="shared" si="161"/>
        <v>#VALUE!</v>
      </c>
      <c r="M209" s="239" t="str">
        <f t="shared" si="162"/>
        <v>-</v>
      </c>
      <c r="N209" s="239" t="str">
        <f t="shared" si="163"/>
        <v>-</v>
      </c>
      <c r="O209" s="227">
        <f t="shared" si="164"/>
        <v>0</v>
      </c>
      <c r="P209" s="227">
        <f t="shared" si="165"/>
        <v>0</v>
      </c>
      <c r="Q209" s="232"/>
      <c r="R209" s="16"/>
      <c r="S209" s="16"/>
      <c r="T209" s="16"/>
      <c r="U209" s="16"/>
      <c r="V209" s="16"/>
      <c r="W209" s="159">
        <f t="shared" si="157"/>
        <v>0</v>
      </c>
      <c r="X209" s="187" t="str">
        <f t="shared" si="166"/>
        <v>-</v>
      </c>
      <c r="Y209" s="222"/>
      <c r="Z209" s="120" t="e">
        <f t="shared" si="167"/>
        <v>#VALUE!</v>
      </c>
      <c r="AA209" s="23">
        <f>($AA$194/$AA$193)^2</f>
        <v>1.3364963747535836E-6</v>
      </c>
      <c r="AB209" s="23">
        <f>($AB$194/$AB$193)^2</f>
        <v>1.5625000000000001E-6</v>
      </c>
      <c r="AC209" s="23">
        <f>($AC$194/$AC$193)^2</f>
        <v>3.3412409368839592E-5</v>
      </c>
      <c r="AD209" s="23">
        <f t="shared" si="168"/>
        <v>0</v>
      </c>
      <c r="AE209" s="23" t="e">
        <f t="shared" si="169"/>
        <v>#VALUE!</v>
      </c>
      <c r="AF209" s="23" t="e">
        <f t="shared" si="170"/>
        <v>#VALUE!</v>
      </c>
      <c r="AG209" s="238" t="e">
        <f t="shared" si="171"/>
        <v>#VALUE!</v>
      </c>
      <c r="AH209" s="237" t="e">
        <f t="shared" si="172"/>
        <v>#VALUE!</v>
      </c>
      <c r="AJ209" s="254">
        <f t="shared" si="173"/>
        <v>0</v>
      </c>
      <c r="AK209" s="254">
        <f t="shared" si="174"/>
        <v>0</v>
      </c>
      <c r="AL209" s="254">
        <f t="shared" si="175"/>
        <v>0</v>
      </c>
      <c r="AM209" s="237">
        <f>ABS(AJ209-AK209)</f>
        <v>0</v>
      </c>
      <c r="AX209" s="96"/>
      <c r="AY209" s="96"/>
      <c r="AZ209" s="96"/>
      <c r="BA209" s="96"/>
      <c r="BB209" s="96"/>
    </row>
    <row r="210" spans="1:54" s="14" customFormat="1" x14ac:dyDescent="0.25">
      <c r="A210" s="278" t="s">
        <v>424</v>
      </c>
      <c r="B210" s="226">
        <v>40</v>
      </c>
      <c r="C210" s="290"/>
      <c r="D210" s="289"/>
      <c r="E210" s="225" t="str">
        <f t="shared" si="158"/>
        <v>-</v>
      </c>
      <c r="F210" s="290"/>
      <c r="G210" s="291"/>
      <c r="H210" s="225" t="str">
        <f t="shared" si="159"/>
        <v>-</v>
      </c>
      <c r="I210" s="290"/>
      <c r="J210" s="291"/>
      <c r="K210" s="225" t="str">
        <f t="shared" si="160"/>
        <v>-</v>
      </c>
      <c r="L210" s="218" t="e">
        <f t="shared" si="161"/>
        <v>#VALUE!</v>
      </c>
      <c r="M210" s="239" t="str">
        <f t="shared" si="162"/>
        <v>-</v>
      </c>
      <c r="N210" s="239" t="str">
        <f t="shared" si="163"/>
        <v>-</v>
      </c>
      <c r="O210" s="227">
        <f t="shared" si="164"/>
        <v>0</v>
      </c>
      <c r="P210" s="227">
        <f t="shared" si="165"/>
        <v>0</v>
      </c>
      <c r="Q210" s="232"/>
      <c r="R210" s="16"/>
      <c r="S210" s="16"/>
      <c r="T210" s="16"/>
      <c r="U210" s="16"/>
      <c r="V210" s="16"/>
      <c r="W210" s="159">
        <f t="shared" si="157"/>
        <v>0</v>
      </c>
      <c r="X210" s="187" t="str">
        <f t="shared" si="166"/>
        <v>-</v>
      </c>
      <c r="Y210" s="222"/>
      <c r="Z210" s="120" t="e">
        <f t="shared" si="167"/>
        <v>#VALUE!</v>
      </c>
      <c r="AA210" s="23">
        <f>($AA$194/$AA$193)^2</f>
        <v>1.3364963747535836E-6</v>
      </c>
      <c r="AB210" s="23">
        <f>($AB$194/$AB$193)^2</f>
        <v>1.5625000000000001E-6</v>
      </c>
      <c r="AC210" s="23">
        <f>($AC$194/$AC$193)^2</f>
        <v>3.3412409368839592E-5</v>
      </c>
      <c r="AD210" s="23">
        <f t="shared" si="168"/>
        <v>0</v>
      </c>
      <c r="AE210" s="23" t="e">
        <f t="shared" si="169"/>
        <v>#VALUE!</v>
      </c>
      <c r="AF210" s="23" t="e">
        <f t="shared" si="170"/>
        <v>#VALUE!</v>
      </c>
      <c r="AG210" s="238" t="e">
        <f t="shared" si="171"/>
        <v>#VALUE!</v>
      </c>
      <c r="AH210" s="237" t="e">
        <f t="shared" si="172"/>
        <v>#VALUE!</v>
      </c>
      <c r="AJ210" s="254">
        <f t="shared" si="173"/>
        <v>0</v>
      </c>
      <c r="AK210" s="254">
        <f t="shared" si="174"/>
        <v>0</v>
      </c>
      <c r="AL210" s="254">
        <f t="shared" si="175"/>
        <v>0</v>
      </c>
      <c r="AM210" s="237">
        <f>ABS(AJ210-AK210)</f>
        <v>0</v>
      </c>
      <c r="AX210" s="96"/>
      <c r="AY210" s="96"/>
      <c r="AZ210" s="96"/>
      <c r="BA210" s="96"/>
      <c r="BB210" s="96"/>
    </row>
    <row r="211" spans="1:54" s="14" customFormat="1" x14ac:dyDescent="0.25">
      <c r="A211" s="278" t="s">
        <v>424</v>
      </c>
      <c r="B211" s="226">
        <v>50</v>
      </c>
      <c r="C211" s="290"/>
      <c r="D211" s="289"/>
      <c r="E211" s="225" t="str">
        <f t="shared" si="158"/>
        <v>-</v>
      </c>
      <c r="F211" s="290"/>
      <c r="G211" s="291"/>
      <c r="H211" s="225" t="str">
        <f t="shared" si="159"/>
        <v>-</v>
      </c>
      <c r="I211" s="290"/>
      <c r="J211" s="291"/>
      <c r="K211" s="225" t="str">
        <f t="shared" si="160"/>
        <v>-</v>
      </c>
      <c r="L211" s="218" t="e">
        <f t="shared" si="161"/>
        <v>#VALUE!</v>
      </c>
      <c r="M211" s="239" t="str">
        <f t="shared" si="162"/>
        <v>-</v>
      </c>
      <c r="N211" s="239" t="str">
        <f t="shared" si="163"/>
        <v>-</v>
      </c>
      <c r="O211" s="227">
        <f t="shared" si="164"/>
        <v>0</v>
      </c>
      <c r="P211" s="227">
        <f t="shared" si="165"/>
        <v>0</v>
      </c>
      <c r="Q211" s="232"/>
      <c r="R211" s="16"/>
      <c r="S211" s="16"/>
      <c r="T211" s="16"/>
      <c r="U211" s="16"/>
      <c r="V211" s="16"/>
      <c r="W211" s="159">
        <f t="shared" si="157"/>
        <v>0</v>
      </c>
      <c r="X211" s="187" t="str">
        <f t="shared" si="166"/>
        <v>-</v>
      </c>
      <c r="Y211" s="222"/>
      <c r="Z211" s="120" t="e">
        <f t="shared" si="167"/>
        <v>#VALUE!</v>
      </c>
      <c r="AA211" s="23">
        <f>($AA$194/$AA$193)^2</f>
        <v>1.3364963747535836E-6</v>
      </c>
      <c r="AB211" s="23">
        <f>($AB$194/$AB$193)^2</f>
        <v>1.5625000000000001E-6</v>
      </c>
      <c r="AC211" s="23">
        <f>($AC$194/$AC$193)^2</f>
        <v>3.3412409368839592E-5</v>
      </c>
      <c r="AD211" s="23">
        <f t="shared" si="168"/>
        <v>0</v>
      </c>
      <c r="AE211" s="23" t="e">
        <f t="shared" si="169"/>
        <v>#VALUE!</v>
      </c>
      <c r="AF211" s="23" t="e">
        <f t="shared" si="170"/>
        <v>#VALUE!</v>
      </c>
      <c r="AG211" s="238" t="e">
        <f t="shared" si="171"/>
        <v>#VALUE!</v>
      </c>
      <c r="AH211" s="237" t="e">
        <f t="shared" si="172"/>
        <v>#VALUE!</v>
      </c>
      <c r="AJ211" s="254">
        <f t="shared" si="173"/>
        <v>0</v>
      </c>
      <c r="AK211" s="254">
        <f t="shared" si="174"/>
        <v>0</v>
      </c>
      <c r="AL211" s="254">
        <f t="shared" si="175"/>
        <v>0</v>
      </c>
      <c r="AM211" s="237">
        <f>ABS(AJ211-AK211)</f>
        <v>0</v>
      </c>
      <c r="AX211" s="96"/>
      <c r="AY211" s="96"/>
      <c r="AZ211" s="96"/>
      <c r="BA211" s="96"/>
      <c r="BB211" s="96"/>
    </row>
    <row r="212" spans="1:54" s="14" customFormat="1" x14ac:dyDescent="0.25">
      <c r="A212" s="276"/>
      <c r="C212" s="16"/>
      <c r="D212" s="2"/>
      <c r="E212" s="16"/>
      <c r="F212" s="16"/>
      <c r="G212" s="16"/>
      <c r="H212" s="16"/>
      <c r="I212" s="224"/>
      <c r="J212" s="224"/>
      <c r="K212" s="223"/>
      <c r="L212" s="223"/>
      <c r="M212" s="16"/>
      <c r="N212" s="16"/>
      <c r="O212" s="16"/>
      <c r="P212" s="16"/>
      <c r="Q212" s="16"/>
      <c r="R212" s="16"/>
      <c r="S212" s="16"/>
      <c r="T212" s="16"/>
      <c r="U212" s="16"/>
      <c r="V212" s="16"/>
      <c r="W212" s="36"/>
      <c r="X212" s="36"/>
      <c r="Y212" s="16"/>
      <c r="Z212" s="16"/>
      <c r="AA212" s="16"/>
      <c r="AX212" s="96"/>
      <c r="AY212" s="96"/>
      <c r="AZ212" s="96"/>
      <c r="BA212" s="96"/>
      <c r="BB212" s="96"/>
    </row>
    <row r="213" spans="1:54" s="14" customFormat="1" x14ac:dyDescent="0.25">
      <c r="A213" s="276"/>
      <c r="C213" s="16"/>
      <c r="D213" s="2"/>
      <c r="E213" s="16"/>
      <c r="F213" s="16"/>
      <c r="G213" s="16"/>
      <c r="H213" s="16"/>
      <c r="I213" s="224"/>
      <c r="J213" s="224"/>
      <c r="K213" s="223"/>
      <c r="L213" s="223"/>
      <c r="M213" s="16"/>
      <c r="N213" s="16"/>
      <c r="O213" s="16"/>
      <c r="P213" s="16"/>
      <c r="Q213" s="16"/>
      <c r="R213" s="16"/>
      <c r="S213" s="16"/>
      <c r="T213" s="16"/>
      <c r="U213" s="16"/>
      <c r="V213" s="16"/>
      <c r="W213" s="36"/>
      <c r="X213" s="36"/>
      <c r="Y213" s="16"/>
      <c r="Z213" s="16"/>
      <c r="AA213" s="16"/>
      <c r="AX213" s="96"/>
      <c r="AY213" s="96"/>
      <c r="AZ213" s="96"/>
      <c r="BA213" s="96"/>
      <c r="BB213" s="96"/>
    </row>
    <row r="214" spans="1:54" s="14" customFormat="1" x14ac:dyDescent="0.25">
      <c r="A214" s="276"/>
      <c r="C214" s="16"/>
      <c r="D214" s="2"/>
      <c r="E214" s="16"/>
      <c r="F214" s="16"/>
      <c r="G214" s="16"/>
      <c r="H214" s="16"/>
      <c r="I214" s="224"/>
      <c r="J214" s="224"/>
      <c r="K214" s="223"/>
      <c r="L214" s="223"/>
      <c r="M214" s="16"/>
      <c r="N214" s="16"/>
      <c r="O214" s="16"/>
      <c r="P214" s="16"/>
      <c r="Q214" s="16"/>
      <c r="R214" s="16"/>
      <c r="S214" s="16"/>
      <c r="T214" s="16"/>
      <c r="U214" s="16"/>
      <c r="V214" s="16"/>
      <c r="W214" s="36"/>
      <c r="X214" s="36"/>
      <c r="Y214" s="16"/>
      <c r="Z214" s="16"/>
      <c r="AA214" s="16"/>
      <c r="AX214" s="96"/>
      <c r="AY214" s="96"/>
      <c r="AZ214" s="96"/>
      <c r="BA214" s="96"/>
      <c r="BB214" s="96"/>
    </row>
    <row r="215" spans="1:54" s="14" customFormat="1" x14ac:dyDescent="0.25">
      <c r="A215" s="276"/>
      <c r="C215" s="16"/>
      <c r="D215" s="2"/>
      <c r="E215" s="16"/>
      <c r="F215" s="16"/>
      <c r="G215" s="16"/>
      <c r="H215" s="16"/>
      <c r="I215" s="224"/>
      <c r="J215" s="224"/>
      <c r="K215" s="223"/>
      <c r="L215" s="223"/>
      <c r="M215" s="16"/>
      <c r="N215" s="16"/>
      <c r="O215" s="16"/>
      <c r="P215" s="16"/>
      <c r="Q215" s="16"/>
      <c r="R215" s="16"/>
      <c r="S215" s="16"/>
      <c r="T215" s="16"/>
      <c r="U215" s="16"/>
      <c r="V215" s="16"/>
      <c r="W215" s="36"/>
      <c r="X215" s="36"/>
      <c r="Y215" s="16"/>
      <c r="Z215" s="16"/>
      <c r="AA215" s="16"/>
      <c r="AX215" s="96"/>
      <c r="AY215" s="96"/>
      <c r="AZ215" s="96"/>
      <c r="BA215" s="96"/>
      <c r="BB215" s="96"/>
    </row>
    <row r="216" spans="1:54" s="14" customFormat="1" x14ac:dyDescent="0.25">
      <c r="A216" s="276"/>
      <c r="B216" s="134" t="s">
        <v>279</v>
      </c>
      <c r="C216" s="16"/>
      <c r="D216" s="2"/>
      <c r="E216" s="16"/>
      <c r="F216" s="16"/>
      <c r="G216" s="16"/>
      <c r="H216" s="16"/>
      <c r="I216" s="224"/>
      <c r="J216" s="224"/>
      <c r="K216" s="223"/>
      <c r="L216" s="223"/>
      <c r="M216" s="16"/>
      <c r="N216" s="16"/>
      <c r="O216" s="16"/>
      <c r="P216" s="16"/>
      <c r="Q216" s="16"/>
      <c r="R216" s="16"/>
      <c r="S216" s="16"/>
      <c r="T216" s="16"/>
      <c r="U216" s="16"/>
      <c r="V216" s="16"/>
      <c r="W216" s="36"/>
      <c r="X216" s="36"/>
      <c r="Y216" s="16"/>
      <c r="Z216" s="16"/>
      <c r="AA216" s="16"/>
      <c r="AX216" s="96"/>
      <c r="AY216" s="96"/>
      <c r="AZ216" s="96"/>
      <c r="BA216" s="96"/>
      <c r="BB216" s="96"/>
    </row>
    <row r="217" spans="1:54" s="14" customFormat="1" x14ac:dyDescent="0.25">
      <c r="A217" s="276"/>
      <c r="B217" s="134" t="s">
        <v>379</v>
      </c>
      <c r="C217" s="16"/>
      <c r="D217" s="2"/>
      <c r="E217" s="16"/>
      <c r="F217" s="16"/>
      <c r="G217" s="16"/>
      <c r="H217" s="16"/>
      <c r="I217" s="224"/>
      <c r="J217" s="224"/>
      <c r="K217" s="223"/>
      <c r="L217" s="223"/>
      <c r="M217" s="16"/>
      <c r="N217" s="16"/>
      <c r="O217" s="16"/>
      <c r="P217" s="16"/>
      <c r="Q217" s="16"/>
      <c r="R217" s="16"/>
      <c r="S217" s="16"/>
      <c r="T217" s="16"/>
      <c r="U217" s="16"/>
      <c r="V217" s="16"/>
      <c r="W217" s="36"/>
      <c r="X217" s="36"/>
      <c r="Y217" s="16"/>
      <c r="Z217" s="16"/>
      <c r="AA217" s="16"/>
      <c r="AX217" s="96"/>
      <c r="AY217" s="96"/>
      <c r="AZ217" s="96"/>
      <c r="BA217" s="96"/>
      <c r="BB217" s="96"/>
    </row>
    <row r="218" spans="1:54" s="14" customFormat="1" x14ac:dyDescent="0.25">
      <c r="A218" s="276"/>
      <c r="B218" s="134" t="s">
        <v>281</v>
      </c>
      <c r="C218" s="16"/>
      <c r="D218" s="2"/>
      <c r="E218" s="16"/>
      <c r="F218" s="16"/>
      <c r="G218" s="16"/>
      <c r="H218" s="16"/>
      <c r="I218" s="224"/>
      <c r="J218" s="224"/>
      <c r="K218" s="223"/>
      <c r="L218" s="223"/>
      <c r="M218" s="16"/>
      <c r="N218" s="16"/>
      <c r="O218" s="16"/>
      <c r="P218" s="16"/>
      <c r="Q218" s="16"/>
      <c r="R218" s="16"/>
      <c r="S218" s="16"/>
      <c r="T218" s="16"/>
      <c r="U218" s="16"/>
      <c r="V218" s="16"/>
      <c r="W218" s="36"/>
      <c r="X218" s="36"/>
      <c r="Y218" s="16"/>
      <c r="Z218" s="16"/>
      <c r="AA218" s="16"/>
      <c r="AX218" s="96"/>
      <c r="AY218" s="96"/>
      <c r="AZ218" s="96"/>
      <c r="BA218" s="96"/>
      <c r="BB218" s="96"/>
    </row>
    <row r="219" spans="1:54" s="14" customFormat="1" x14ac:dyDescent="0.25">
      <c r="A219" s="276"/>
      <c r="C219" s="16"/>
      <c r="D219" s="2"/>
      <c r="E219" s="16"/>
      <c r="F219" s="16"/>
      <c r="G219" s="16"/>
      <c r="H219" s="16"/>
      <c r="I219" s="224"/>
      <c r="J219" s="224"/>
      <c r="K219" s="223"/>
      <c r="L219" s="223"/>
      <c r="M219" s="16"/>
      <c r="N219" s="16"/>
      <c r="O219" s="16"/>
      <c r="P219" s="16"/>
      <c r="Q219" s="16"/>
      <c r="R219" s="16"/>
      <c r="S219" s="16"/>
      <c r="T219" s="16"/>
      <c r="U219" s="16"/>
      <c r="V219" s="16"/>
      <c r="W219" s="36"/>
      <c r="X219" s="36"/>
      <c r="Y219" s="16"/>
      <c r="Z219" s="16"/>
      <c r="AA219" s="16"/>
      <c r="AX219" s="96"/>
      <c r="AY219" s="96"/>
      <c r="AZ219" s="96"/>
      <c r="BA219" s="96"/>
      <c r="BB219" s="96"/>
    </row>
    <row r="220" spans="1:54" s="14" customFormat="1" x14ac:dyDescent="0.25">
      <c r="A220" s="276"/>
      <c r="C220" s="16"/>
      <c r="D220" s="2"/>
      <c r="E220" s="16"/>
      <c r="F220" s="16"/>
      <c r="G220" s="16"/>
      <c r="H220" s="16"/>
      <c r="I220" s="224"/>
      <c r="J220" s="224"/>
      <c r="K220" s="223"/>
      <c r="L220" s="223"/>
      <c r="M220" s="16"/>
      <c r="N220" s="16"/>
      <c r="O220" s="16"/>
      <c r="P220" s="16"/>
      <c r="Q220" s="16"/>
      <c r="R220" s="16"/>
      <c r="S220" s="16"/>
      <c r="T220" s="16"/>
      <c r="U220" s="16"/>
      <c r="V220" s="16"/>
      <c r="W220" s="36"/>
      <c r="X220" s="36"/>
      <c r="Y220" s="16"/>
      <c r="Z220" s="16"/>
      <c r="AA220" s="16"/>
      <c r="AX220" s="96"/>
      <c r="AY220" s="96"/>
      <c r="AZ220" s="96"/>
      <c r="BA220" s="96"/>
      <c r="BB220" s="96"/>
    </row>
    <row r="221" spans="1:54" s="14" customFormat="1" x14ac:dyDescent="0.25">
      <c r="A221" s="276"/>
      <c r="C221" s="16"/>
      <c r="D221" s="2"/>
      <c r="E221" s="16"/>
      <c r="F221" s="16"/>
      <c r="G221" s="16"/>
      <c r="H221" s="16"/>
      <c r="I221" s="224"/>
      <c r="J221" s="224"/>
      <c r="K221" s="223"/>
      <c r="L221" s="223"/>
      <c r="M221" s="16"/>
      <c r="N221" s="16"/>
      <c r="O221" s="16"/>
      <c r="P221" s="16"/>
      <c r="Q221" s="16"/>
      <c r="R221" s="16"/>
      <c r="S221" s="16"/>
      <c r="T221" s="16"/>
      <c r="U221" s="16"/>
      <c r="V221" s="16"/>
      <c r="W221" s="36"/>
      <c r="X221" s="36"/>
      <c r="Y221" s="16"/>
      <c r="Z221" s="16"/>
      <c r="AA221" s="16"/>
      <c r="AX221" s="96"/>
      <c r="AY221" s="96"/>
      <c r="AZ221" s="96"/>
      <c r="BA221" s="96"/>
      <c r="BB221" s="96"/>
    </row>
    <row r="222" spans="1:54" s="14" customFormat="1" x14ac:dyDescent="0.25">
      <c r="A222" s="276"/>
      <c r="C222" s="16"/>
      <c r="D222" s="2"/>
      <c r="E222" s="16"/>
      <c r="F222" s="16"/>
      <c r="G222" s="16"/>
      <c r="H222" s="16"/>
      <c r="I222" s="224"/>
      <c r="J222" s="224"/>
      <c r="K222" s="223"/>
      <c r="L222" s="223"/>
      <c r="M222" s="16"/>
      <c r="N222" s="16"/>
      <c r="O222" s="16"/>
      <c r="P222" s="16"/>
      <c r="Q222" s="16"/>
      <c r="R222" s="16"/>
      <c r="S222" s="16"/>
      <c r="T222" s="16"/>
      <c r="U222" s="16"/>
      <c r="V222" s="16"/>
      <c r="W222" s="36"/>
      <c r="X222" s="36"/>
      <c r="Y222" s="16"/>
      <c r="Z222" s="16"/>
      <c r="AA222" s="16"/>
      <c r="AX222" s="96"/>
      <c r="AY222" s="96"/>
      <c r="AZ222" s="96"/>
      <c r="BA222" s="96"/>
      <c r="BB222" s="96"/>
    </row>
    <row r="223" spans="1:54" s="14" customFormat="1" x14ac:dyDescent="0.25">
      <c r="A223" s="276"/>
      <c r="C223" s="16"/>
      <c r="D223" s="2"/>
      <c r="E223" s="16"/>
      <c r="F223" s="16"/>
      <c r="G223" s="16"/>
      <c r="H223" s="16"/>
      <c r="I223" s="224"/>
      <c r="J223" s="224"/>
      <c r="K223" s="223"/>
      <c r="L223" s="223"/>
      <c r="M223" s="16"/>
      <c r="N223" s="16"/>
      <c r="O223" s="16"/>
      <c r="P223" s="16"/>
      <c r="Q223" s="16"/>
      <c r="R223" s="16"/>
      <c r="S223" s="16"/>
      <c r="T223" s="16"/>
      <c r="U223" s="16"/>
      <c r="V223" s="16"/>
      <c r="W223" s="36"/>
      <c r="X223" s="36"/>
      <c r="Y223" s="16"/>
      <c r="Z223" s="16"/>
      <c r="AA223" s="16"/>
      <c r="AX223" s="96"/>
      <c r="AY223" s="96"/>
      <c r="AZ223" s="96"/>
      <c r="BA223" s="96"/>
      <c r="BB223" s="96"/>
    </row>
    <row r="224" spans="1:54" s="14" customFormat="1" x14ac:dyDescent="0.25">
      <c r="A224" s="276"/>
      <c r="C224" s="16"/>
      <c r="D224" s="2"/>
      <c r="E224" s="16"/>
      <c r="F224" s="16"/>
      <c r="G224" s="16"/>
      <c r="H224" s="16"/>
      <c r="I224" s="224"/>
      <c r="J224" s="224"/>
      <c r="K224" s="223"/>
      <c r="L224" s="223"/>
      <c r="M224" s="16"/>
      <c r="N224" s="16"/>
      <c r="O224" s="16"/>
      <c r="P224" s="16"/>
      <c r="Q224" s="16"/>
      <c r="R224" s="16"/>
      <c r="S224" s="16"/>
      <c r="T224" s="16"/>
      <c r="U224" s="16"/>
      <c r="V224" s="16"/>
      <c r="W224" s="36"/>
      <c r="X224" s="36"/>
      <c r="Y224" s="16"/>
      <c r="Z224" s="16"/>
      <c r="AA224" s="16"/>
      <c r="AX224" s="96"/>
      <c r="AY224" s="96"/>
      <c r="AZ224" s="96"/>
      <c r="BA224" s="96"/>
      <c r="BB224" s="96"/>
    </row>
    <row r="225" spans="1:54" s="14" customFormat="1" x14ac:dyDescent="0.25">
      <c r="A225" s="276"/>
      <c r="C225" s="16"/>
      <c r="D225" s="2"/>
      <c r="E225" s="16"/>
      <c r="F225" s="16"/>
      <c r="G225" s="16"/>
      <c r="H225" s="16"/>
      <c r="I225" s="224"/>
      <c r="J225" s="224"/>
      <c r="K225" s="223"/>
      <c r="L225" s="223"/>
      <c r="M225" s="16"/>
      <c r="N225" s="16"/>
      <c r="O225" s="16"/>
      <c r="P225" s="16"/>
      <c r="Q225" s="16"/>
      <c r="R225" s="16"/>
      <c r="S225" s="16"/>
      <c r="T225" s="16"/>
      <c r="U225" s="16"/>
      <c r="V225" s="16"/>
      <c r="W225" s="36"/>
      <c r="X225" s="36"/>
      <c r="Y225" s="16"/>
      <c r="Z225" s="16"/>
      <c r="AA225" s="16"/>
      <c r="AX225" s="96"/>
      <c r="AY225" s="96"/>
      <c r="AZ225" s="96"/>
      <c r="BA225" s="96"/>
      <c r="BB225" s="96"/>
    </row>
    <row r="226" spans="1:54" s="14" customFormat="1" x14ac:dyDescent="0.25">
      <c r="A226" s="276"/>
      <c r="C226" s="16"/>
      <c r="D226" s="2"/>
      <c r="E226" s="16"/>
      <c r="F226" s="16"/>
      <c r="G226" s="16"/>
      <c r="H226" s="16"/>
      <c r="I226" s="224"/>
      <c r="J226" s="224"/>
      <c r="K226" s="223"/>
      <c r="L226" s="223"/>
      <c r="M226" s="16"/>
      <c r="N226" s="16"/>
      <c r="O226" s="16"/>
      <c r="P226" s="16"/>
      <c r="Q226" s="16"/>
      <c r="R226" s="16"/>
      <c r="S226" s="16"/>
      <c r="T226" s="16"/>
      <c r="U226" s="16"/>
      <c r="V226" s="16"/>
      <c r="W226" s="36"/>
      <c r="X226" s="36"/>
      <c r="Y226" s="16"/>
      <c r="Z226" s="16"/>
      <c r="AA226" s="16"/>
      <c r="AX226" s="96"/>
      <c r="AY226" s="96"/>
      <c r="AZ226" s="96"/>
      <c r="BA226" s="96"/>
      <c r="BB226" s="96"/>
    </row>
    <row r="227" spans="1:54" x14ac:dyDescent="0.25">
      <c r="C227" s="16"/>
      <c r="D227" s="2"/>
      <c r="E227" s="225"/>
      <c r="F227" s="16"/>
      <c r="G227" s="16"/>
      <c r="H227" s="16"/>
      <c r="I227" s="224"/>
      <c r="J227" s="224"/>
      <c r="K227" s="223"/>
      <c r="L227" s="223"/>
      <c r="M227" s="16"/>
      <c r="N227" s="16"/>
    </row>
    <row r="228" spans="1:54" x14ac:dyDescent="0.25">
      <c r="C228" s="16"/>
      <c r="D228" s="16"/>
      <c r="E228" s="16"/>
      <c r="F228" s="16"/>
      <c r="G228" s="16"/>
      <c r="H228" s="16"/>
      <c r="I228" s="16"/>
      <c r="J228" s="16"/>
      <c r="K228" s="16"/>
      <c r="L228" s="16"/>
      <c r="M228" s="16"/>
      <c r="N228" s="16"/>
    </row>
    <row r="229" spans="1:54" x14ac:dyDescent="0.25">
      <c r="B229" s="15"/>
      <c r="C229" s="2"/>
      <c r="D229" s="2"/>
      <c r="E229" s="2"/>
      <c r="F229" s="2"/>
      <c r="G229" s="2"/>
      <c r="H229" s="2"/>
      <c r="I229" s="2"/>
      <c r="J229" s="2"/>
      <c r="K229" s="16"/>
      <c r="L229" s="16"/>
      <c r="M229" s="16"/>
      <c r="N229" s="16"/>
    </row>
    <row r="230" spans="1:54" x14ac:dyDescent="0.25">
      <c r="B230" s="392" t="s">
        <v>358</v>
      </c>
      <c r="C230" s="392"/>
      <c r="D230" s="392"/>
      <c r="E230" s="392"/>
      <c r="F230" s="392"/>
      <c r="G230" s="392"/>
      <c r="H230" s="392"/>
      <c r="I230" s="392"/>
      <c r="J230" s="392"/>
      <c r="K230" s="392"/>
      <c r="L230" s="392"/>
      <c r="M230" s="392"/>
      <c r="N230" s="392"/>
      <c r="O230" s="391" t="s">
        <v>359</v>
      </c>
      <c r="P230" s="391"/>
      <c r="Q230" s="391"/>
      <c r="R230" s="391"/>
      <c r="S230" s="391"/>
      <c r="T230" s="391"/>
      <c r="U230" s="391"/>
      <c r="V230" s="391"/>
    </row>
  </sheetData>
  <mergeCells count="306">
    <mergeCell ref="AF201:AF202"/>
    <mergeCell ref="B2:K2"/>
    <mergeCell ref="O190:V192"/>
    <mergeCell ref="B204:N204"/>
    <mergeCell ref="W205:W206"/>
    <mergeCell ref="Z200:AG200"/>
    <mergeCell ref="Z201:Z202"/>
    <mergeCell ref="Y56:Y58"/>
    <mergeCell ref="Z56:AC56"/>
    <mergeCell ref="AD56:AG56"/>
    <mergeCell ref="Z57:AA57"/>
    <mergeCell ref="AB57:AC57"/>
    <mergeCell ref="AD57:AE57"/>
    <mergeCell ref="AF57:AG57"/>
    <mergeCell ref="AB58:AC58"/>
    <mergeCell ref="AD58:AE58"/>
    <mergeCell ref="AF58:AG58"/>
    <mergeCell ref="E193:E194"/>
    <mergeCell ref="H193:H194"/>
    <mergeCell ref="K193:K194"/>
    <mergeCell ref="O230:V230"/>
    <mergeCell ref="B230:N230"/>
    <mergeCell ref="B190:N190"/>
    <mergeCell ref="B193:B194"/>
    <mergeCell ref="C193:C194"/>
    <mergeCell ref="K128:K129"/>
    <mergeCell ref="AC201:AC202"/>
    <mergeCell ref="AD201:AD202"/>
    <mergeCell ref="AE201:AE202"/>
    <mergeCell ref="X193:X194"/>
    <mergeCell ref="D193:D194"/>
    <mergeCell ref="F193:F194"/>
    <mergeCell ref="G193:G194"/>
    <mergeCell ref="I193:I194"/>
    <mergeCell ref="J193:J194"/>
    <mergeCell ref="B192:N192"/>
    <mergeCell ref="W193:W194"/>
    <mergeCell ref="S143:U143"/>
    <mergeCell ref="O143:R143"/>
    <mergeCell ref="X143:X144"/>
    <mergeCell ref="Q144:R144"/>
    <mergeCell ref="L193:L194"/>
    <mergeCell ref="O193:Q193"/>
    <mergeCell ref="M193:M194"/>
    <mergeCell ref="N193:N194"/>
    <mergeCell ref="B141:N141"/>
    <mergeCell ref="B143:B144"/>
    <mergeCell ref="C143:C144"/>
    <mergeCell ref="D143:D144"/>
    <mergeCell ref="E143:E144"/>
    <mergeCell ref="F143:F144"/>
    <mergeCell ref="G143:G144"/>
    <mergeCell ref="H143:H144"/>
    <mergeCell ref="I143:I144"/>
    <mergeCell ref="J143:J144"/>
    <mergeCell ref="K143:K144"/>
    <mergeCell ref="L143:L144"/>
    <mergeCell ref="M143:M144"/>
    <mergeCell ref="N143:N144"/>
    <mergeCell ref="B126:N126"/>
    <mergeCell ref="F128:F129"/>
    <mergeCell ref="G128:G129"/>
    <mergeCell ref="L76:L77"/>
    <mergeCell ref="L91:L92"/>
    <mergeCell ref="Q99:R99"/>
    <mergeCell ref="Q100:R100"/>
    <mergeCell ref="Q101:R101"/>
    <mergeCell ref="Q102:R102"/>
    <mergeCell ref="Q80:R80"/>
    <mergeCell ref="Q81:R81"/>
    <mergeCell ref="Q82:R82"/>
    <mergeCell ref="B128:B129"/>
    <mergeCell ref="C128:C129"/>
    <mergeCell ref="D128:D129"/>
    <mergeCell ref="E128:E129"/>
    <mergeCell ref="M76:M77"/>
    <mergeCell ref="B123:C123"/>
    <mergeCell ref="L128:L129"/>
    <mergeCell ref="M128:M129"/>
    <mergeCell ref="N128:N129"/>
    <mergeCell ref="H128:H129"/>
    <mergeCell ref="I128:I129"/>
    <mergeCell ref="J128:J129"/>
    <mergeCell ref="S76:U76"/>
    <mergeCell ref="S91:U91"/>
    <mergeCell ref="O90:R90"/>
    <mergeCell ref="Q131:R131"/>
    <mergeCell ref="Q132:R132"/>
    <mergeCell ref="Q133:R133"/>
    <mergeCell ref="Q134:R134"/>
    <mergeCell ref="BC128:BG128"/>
    <mergeCell ref="Q129:R129"/>
    <mergeCell ref="Q130:R130"/>
    <mergeCell ref="Q85:R85"/>
    <mergeCell ref="Q86:R86"/>
    <mergeCell ref="Q87:R87"/>
    <mergeCell ref="Q92:R92"/>
    <mergeCell ref="Q93:R93"/>
    <mergeCell ref="BC76:BG76"/>
    <mergeCell ref="Q77:R77"/>
    <mergeCell ref="Q78:R78"/>
    <mergeCell ref="Q79:R79"/>
    <mergeCell ref="O76:R76"/>
    <mergeCell ref="X91:X92"/>
    <mergeCell ref="X76:X77"/>
    <mergeCell ref="X128:X129"/>
    <mergeCell ref="O128:R128"/>
    <mergeCell ref="B1:K1"/>
    <mergeCell ref="O1:V1"/>
    <mergeCell ref="C76:C77"/>
    <mergeCell ref="J76:J77"/>
    <mergeCell ref="D76:D77"/>
    <mergeCell ref="F76:F77"/>
    <mergeCell ref="G76:G77"/>
    <mergeCell ref="I76:I77"/>
    <mergeCell ref="B76:B77"/>
    <mergeCell ref="C64:D64"/>
    <mergeCell ref="B70:C70"/>
    <mergeCell ref="B71:C71"/>
    <mergeCell ref="E76:E77"/>
    <mergeCell ref="O71:V73"/>
    <mergeCell ref="B3:E3"/>
    <mergeCell ref="B4:E4"/>
    <mergeCell ref="B5:E5"/>
    <mergeCell ref="B6:E6"/>
    <mergeCell ref="B7:E7"/>
    <mergeCell ref="B13:N13"/>
    <mergeCell ref="L3:N3"/>
    <mergeCell ref="L4:N4"/>
    <mergeCell ref="E37:F37"/>
    <mergeCell ref="E38:F38"/>
    <mergeCell ref="Z39:AA39"/>
    <mergeCell ref="Z40:AA40"/>
    <mergeCell ref="Z41:AA41"/>
    <mergeCell ref="AP70:AP72"/>
    <mergeCell ref="AB70:AB72"/>
    <mergeCell ref="AA70:AA72"/>
    <mergeCell ref="Z70:Z72"/>
    <mergeCell ref="L5:N5"/>
    <mergeCell ref="L6:N6"/>
    <mergeCell ref="L7:N7"/>
    <mergeCell ref="L8:N8"/>
    <mergeCell ref="B61:N61"/>
    <mergeCell ref="L64:M64"/>
    <mergeCell ref="L65:M65"/>
    <mergeCell ref="L66:M66"/>
    <mergeCell ref="E35:F35"/>
    <mergeCell ref="E36:F36"/>
    <mergeCell ref="L15:N15"/>
    <mergeCell ref="L16:N16"/>
    <mergeCell ref="G15:H15"/>
    <mergeCell ref="G16:H16"/>
    <mergeCell ref="G17:H17"/>
    <mergeCell ref="J30:L30"/>
    <mergeCell ref="L17:N17"/>
    <mergeCell ref="E32:F32"/>
    <mergeCell ref="D8:F8"/>
    <mergeCell ref="B12:M12"/>
    <mergeCell ref="D9:F9"/>
    <mergeCell ref="E34:F34"/>
    <mergeCell ref="E33:F33"/>
    <mergeCell ref="B74:N74"/>
    <mergeCell ref="L18:N18"/>
    <mergeCell ref="G18:H18"/>
    <mergeCell ref="F63:G63"/>
    <mergeCell ref="H63:I63"/>
    <mergeCell ref="G19:H19"/>
    <mergeCell ref="D69:G69"/>
    <mergeCell ref="E39:F39"/>
    <mergeCell ref="E40:F40"/>
    <mergeCell ref="E41:F41"/>
    <mergeCell ref="E42:F42"/>
    <mergeCell ref="E43:F43"/>
    <mergeCell ref="E44:F44"/>
    <mergeCell ref="E45:F45"/>
    <mergeCell ref="I91:I92"/>
    <mergeCell ref="J91:J92"/>
    <mergeCell ref="K91:K92"/>
    <mergeCell ref="M91:M92"/>
    <mergeCell ref="N91:N92"/>
    <mergeCell ref="H76:H77"/>
    <mergeCell ref="K76:K77"/>
    <mergeCell ref="N76:N77"/>
    <mergeCell ref="H69:K69"/>
    <mergeCell ref="E46:F46"/>
    <mergeCell ref="E47:F47"/>
    <mergeCell ref="E48:F48"/>
    <mergeCell ref="Q135:R135"/>
    <mergeCell ref="Q136:R136"/>
    <mergeCell ref="Q137:R137"/>
    <mergeCell ref="Q138:R138"/>
    <mergeCell ref="O127:R127"/>
    <mergeCell ref="O91:R91"/>
    <mergeCell ref="Q94:R94"/>
    <mergeCell ref="Q95:R95"/>
    <mergeCell ref="Q96:R96"/>
    <mergeCell ref="Q97:R97"/>
    <mergeCell ref="Q98:R98"/>
    <mergeCell ref="O124:V126"/>
    <mergeCell ref="S128:U128"/>
    <mergeCell ref="B89:N89"/>
    <mergeCell ref="B91:B92"/>
    <mergeCell ref="C91:C92"/>
    <mergeCell ref="D91:D92"/>
    <mergeCell ref="E91:E92"/>
    <mergeCell ref="F91:F92"/>
    <mergeCell ref="G91:G92"/>
    <mergeCell ref="H91:H92"/>
    <mergeCell ref="Q139:R139"/>
    <mergeCell ref="Q153:R153"/>
    <mergeCell ref="Q154:R154"/>
    <mergeCell ref="Q145:R145"/>
    <mergeCell ref="Q146:R146"/>
    <mergeCell ref="Q147:R147"/>
    <mergeCell ref="Q148:R148"/>
    <mergeCell ref="Q149:R149"/>
    <mergeCell ref="Q150:R150"/>
    <mergeCell ref="Q151:R151"/>
    <mergeCell ref="Q152:R152"/>
    <mergeCell ref="AZ69:AZ72"/>
    <mergeCell ref="BA69:BA72"/>
    <mergeCell ref="AX121:AX124"/>
    <mergeCell ref="AY121:AY124"/>
    <mergeCell ref="AZ121:AZ124"/>
    <mergeCell ref="BA121:BA124"/>
    <mergeCell ref="O36:T38"/>
    <mergeCell ref="Y120:AW120"/>
    <mergeCell ref="Y121:AS121"/>
    <mergeCell ref="AT121:AT124"/>
    <mergeCell ref="AU121:AU124"/>
    <mergeCell ref="AV121:AV124"/>
    <mergeCell ref="AW121:AW124"/>
    <mergeCell ref="Y122:Y124"/>
    <mergeCell ref="Z122:Z124"/>
    <mergeCell ref="AA122:AA124"/>
    <mergeCell ref="AB122:AB124"/>
    <mergeCell ref="AP122:AP124"/>
    <mergeCell ref="AQ122:AQ124"/>
    <mergeCell ref="AR122:AR124"/>
    <mergeCell ref="AS122:AS124"/>
    <mergeCell ref="O75:R75"/>
    <mergeCell ref="Q83:R83"/>
    <mergeCell ref="Q84:R84"/>
    <mergeCell ref="AX69:AX72"/>
    <mergeCell ref="AY69:AY72"/>
    <mergeCell ref="Y68:AW68"/>
    <mergeCell ref="Y69:AS69"/>
    <mergeCell ref="AT69:AT72"/>
    <mergeCell ref="AU69:AU72"/>
    <mergeCell ref="AV69:AV72"/>
    <mergeCell ref="AW69:AW72"/>
    <mergeCell ref="AQ70:AQ72"/>
    <mergeCell ref="AR70:AR72"/>
    <mergeCell ref="AS70:AS72"/>
    <mergeCell ref="Y70:Y72"/>
    <mergeCell ref="AC70:AC72"/>
    <mergeCell ref="AF70:AF72"/>
    <mergeCell ref="AK70:AK72"/>
    <mergeCell ref="AG201:AG202"/>
    <mergeCell ref="AJ193:AL193"/>
    <mergeCell ref="AJ205:AL205"/>
    <mergeCell ref="AF62:AG62"/>
    <mergeCell ref="AB59:AC59"/>
    <mergeCell ref="AF59:AG59"/>
    <mergeCell ref="AB60:AC60"/>
    <mergeCell ref="AF60:AG60"/>
    <mergeCell ref="AB61:AC61"/>
    <mergeCell ref="AF61:AG61"/>
    <mergeCell ref="AB62:AC62"/>
    <mergeCell ref="AC122:AC124"/>
    <mergeCell ref="AF122:AF124"/>
    <mergeCell ref="AK122:AK124"/>
    <mergeCell ref="Z188:AG188"/>
    <mergeCell ref="Z189:Z190"/>
    <mergeCell ref="AA189:AA190"/>
    <mergeCell ref="AB189:AB190"/>
    <mergeCell ref="AC189:AC190"/>
    <mergeCell ref="AD189:AD190"/>
    <mergeCell ref="AH189:AH190"/>
    <mergeCell ref="AE189:AE190"/>
    <mergeCell ref="AF189:AF190"/>
    <mergeCell ref="AG189:AG190"/>
    <mergeCell ref="AM193:AM194"/>
    <mergeCell ref="AM205:AM206"/>
    <mergeCell ref="AH53:AH55"/>
    <mergeCell ref="AI53:AL53"/>
    <mergeCell ref="AM53:AP53"/>
    <mergeCell ref="AH201:AH202"/>
    <mergeCell ref="B203:N203"/>
    <mergeCell ref="B205:B206"/>
    <mergeCell ref="C205:C206"/>
    <mergeCell ref="D205:D206"/>
    <mergeCell ref="E205:E206"/>
    <mergeCell ref="F205:F206"/>
    <mergeCell ref="G205:G206"/>
    <mergeCell ref="H205:H206"/>
    <mergeCell ref="I205:I206"/>
    <mergeCell ref="J205:J206"/>
    <mergeCell ref="K205:K206"/>
    <mergeCell ref="L205:L206"/>
    <mergeCell ref="M205:M206"/>
    <mergeCell ref="N205:N206"/>
    <mergeCell ref="O205:Q205"/>
    <mergeCell ref="X205:X206"/>
    <mergeCell ref="AA201:AA202"/>
    <mergeCell ref="AB201:AB202"/>
  </mergeCells>
  <conditionalFormatting sqref="B3">
    <cfRule type="cellIs" dxfId="93" priority="160" operator="equal">
      <formula>"Enter Contact Name"</formula>
    </cfRule>
  </conditionalFormatting>
  <conditionalFormatting sqref="B4:E4">
    <cfRule type="cellIs" dxfId="92" priority="159" operator="equal">
      <formula>"Enter Company"</formula>
    </cfRule>
  </conditionalFormatting>
  <conditionalFormatting sqref="B5:E5">
    <cfRule type="cellIs" dxfId="91" priority="158" operator="equal">
      <formula>"Enter Address"</formula>
    </cfRule>
  </conditionalFormatting>
  <conditionalFormatting sqref="B6:E6">
    <cfRule type="cellIs" dxfId="90" priority="157" operator="equal">
      <formula>"Enter City/State/Postal"</formula>
    </cfRule>
  </conditionalFormatting>
  <conditionalFormatting sqref="B7:E7">
    <cfRule type="cellIs" dxfId="89" priority="156" operator="equal">
      <formula>"Enter Country"</formula>
    </cfRule>
  </conditionalFormatting>
  <conditionalFormatting sqref="D9">
    <cfRule type="cellIs" dxfId="88" priority="155" operator="equal">
      <formula>"Enter Starrett Order #"</formula>
    </cfRule>
  </conditionalFormatting>
  <conditionalFormatting sqref="D8">
    <cfRule type="cellIs" dxfId="87" priority="154" operator="equal">
      <formula>"Enter Customer Order #"</formula>
    </cfRule>
  </conditionalFormatting>
  <conditionalFormatting sqref="L4:L6">
    <cfRule type="cellIs" dxfId="86" priority="153" operator="equal">
      <formula>0</formula>
    </cfRule>
  </conditionalFormatting>
  <conditionalFormatting sqref="G15">
    <cfRule type="cellIs" dxfId="85" priority="150" operator="equal">
      <formula>"Select One"</formula>
    </cfRule>
  </conditionalFormatting>
  <conditionalFormatting sqref="G16">
    <cfRule type="cellIs" dxfId="84" priority="149" operator="equal">
      <formula>"Select One"</formula>
    </cfRule>
  </conditionalFormatting>
  <conditionalFormatting sqref="G17">
    <cfRule type="cellIs" dxfId="83" priority="148" operator="equal">
      <formula>"Select One"</formula>
    </cfRule>
  </conditionalFormatting>
  <conditionalFormatting sqref="J30">
    <cfRule type="cellIs" dxfId="82" priority="147" operator="equal">
      <formula>"ENTER TECHNICIAN NAME"</formula>
    </cfRule>
  </conditionalFormatting>
  <conditionalFormatting sqref="L15:L18">
    <cfRule type="cellIs" dxfId="81" priority="146" operator="equal">
      <formula>0</formula>
    </cfRule>
  </conditionalFormatting>
  <conditionalFormatting sqref="E78:E87 H78:H87 K78:K87">
    <cfRule type="cellIs" dxfId="80" priority="140" operator="lessThan">
      <formula>-0.01</formula>
    </cfRule>
    <cfRule type="cellIs" dxfId="79" priority="141" operator="greaterThan">
      <formula>0.01</formula>
    </cfRule>
  </conditionalFormatting>
  <conditionalFormatting sqref="E36:F36">
    <cfRule type="cellIs" dxfId="78" priority="137" operator="equal">
      <formula>"Select Load Cell"</formula>
    </cfRule>
  </conditionalFormatting>
  <conditionalFormatting sqref="G18:H18">
    <cfRule type="cellIs" dxfId="77" priority="136" operator="equal">
      <formula>0</formula>
    </cfRule>
  </conditionalFormatting>
  <conditionalFormatting sqref="E78:E87">
    <cfRule type="cellIs" dxfId="76" priority="134" operator="equal">
      <formula>"-"</formula>
    </cfRule>
  </conditionalFormatting>
  <conditionalFormatting sqref="E78:E87">
    <cfRule type="cellIs" dxfId="75" priority="133" operator="equal">
      <formula>"-"</formula>
    </cfRule>
  </conditionalFormatting>
  <conditionalFormatting sqref="H87">
    <cfRule type="cellIs" dxfId="74" priority="132" operator="equal">
      <formula>"-"</formula>
    </cfRule>
  </conditionalFormatting>
  <conditionalFormatting sqref="H78:H87">
    <cfRule type="cellIs" dxfId="73" priority="131" operator="equal">
      <formula>"-"</formula>
    </cfRule>
  </conditionalFormatting>
  <conditionalFormatting sqref="K87">
    <cfRule type="cellIs" dxfId="72" priority="130" operator="equal">
      <formula>"-"</formula>
    </cfRule>
  </conditionalFormatting>
  <conditionalFormatting sqref="K78:K87">
    <cfRule type="cellIs" dxfId="71" priority="129" operator="equal">
      <formula>"-"</formula>
    </cfRule>
  </conditionalFormatting>
  <conditionalFormatting sqref="H78:H87">
    <cfRule type="cellIs" dxfId="70" priority="128" operator="equal">
      <formula>"-"</formula>
    </cfRule>
  </conditionalFormatting>
  <conditionalFormatting sqref="H78:H87">
    <cfRule type="cellIs" dxfId="69" priority="127" operator="equal">
      <formula>"-"</formula>
    </cfRule>
  </conditionalFormatting>
  <conditionalFormatting sqref="K78:K87">
    <cfRule type="cellIs" dxfId="68" priority="126" operator="equal">
      <formula>"-"</formula>
    </cfRule>
  </conditionalFormatting>
  <conditionalFormatting sqref="K78:K87">
    <cfRule type="cellIs" dxfId="67" priority="125" operator="equal">
      <formula>"-"</formula>
    </cfRule>
  </conditionalFormatting>
  <conditionalFormatting sqref="E93:E102 H93:H102 K93:K102">
    <cfRule type="cellIs" dxfId="66" priority="123" operator="lessThan">
      <formula>-0.01</formula>
    </cfRule>
    <cfRule type="cellIs" dxfId="65" priority="124" operator="greaterThan">
      <formula>0.01</formula>
    </cfRule>
  </conditionalFormatting>
  <conditionalFormatting sqref="E93:E102">
    <cfRule type="cellIs" dxfId="64" priority="122" operator="equal">
      <formula>"-"</formula>
    </cfRule>
  </conditionalFormatting>
  <conditionalFormatting sqref="E93:E101">
    <cfRule type="cellIs" dxfId="63" priority="121" operator="equal">
      <formula>"-"</formula>
    </cfRule>
  </conditionalFormatting>
  <conditionalFormatting sqref="H102">
    <cfRule type="cellIs" dxfId="62" priority="120" operator="equal">
      <formula>"-"</formula>
    </cfRule>
  </conditionalFormatting>
  <conditionalFormatting sqref="H93:H101">
    <cfRule type="cellIs" dxfId="61" priority="119" operator="equal">
      <formula>"-"</formula>
    </cfRule>
  </conditionalFormatting>
  <conditionalFormatting sqref="K102">
    <cfRule type="cellIs" dxfId="60" priority="118" operator="equal">
      <formula>"-"</formula>
    </cfRule>
  </conditionalFormatting>
  <conditionalFormatting sqref="K93:K101">
    <cfRule type="cellIs" dxfId="59" priority="117" operator="equal">
      <formula>"-"</formula>
    </cfRule>
  </conditionalFormatting>
  <conditionalFormatting sqref="H93:H102">
    <cfRule type="cellIs" dxfId="58" priority="116" operator="equal">
      <formula>"-"</formula>
    </cfRule>
  </conditionalFormatting>
  <conditionalFormatting sqref="H93:H101">
    <cfRule type="cellIs" dxfId="57" priority="115" operator="equal">
      <formula>"-"</formula>
    </cfRule>
  </conditionalFormatting>
  <conditionalFormatting sqref="K93:K102">
    <cfRule type="cellIs" dxfId="56" priority="114" operator="equal">
      <formula>"-"</formula>
    </cfRule>
  </conditionalFormatting>
  <conditionalFormatting sqref="K93:K101">
    <cfRule type="cellIs" dxfId="55" priority="113" operator="equal">
      <formula>"-"</formula>
    </cfRule>
  </conditionalFormatting>
  <conditionalFormatting sqref="L78:L87">
    <cfRule type="cellIs" dxfId="54" priority="111" operator="lessThan">
      <formula>-0.01</formula>
    </cfRule>
    <cfRule type="cellIs" dxfId="53" priority="112" operator="greaterThan">
      <formula>0.01</formula>
    </cfRule>
  </conditionalFormatting>
  <conditionalFormatting sqref="L87">
    <cfRule type="cellIs" dxfId="52" priority="110" operator="equal">
      <formula>"-"</formula>
    </cfRule>
  </conditionalFormatting>
  <conditionalFormatting sqref="L78:L87">
    <cfRule type="cellIs" dxfId="51" priority="109" operator="equal">
      <formula>"-"</formula>
    </cfRule>
  </conditionalFormatting>
  <conditionalFormatting sqref="L78:L87">
    <cfRule type="cellIs" dxfId="50" priority="108" operator="equal">
      <formula>"-"</formula>
    </cfRule>
  </conditionalFormatting>
  <conditionalFormatting sqref="L78:L87">
    <cfRule type="cellIs" dxfId="49" priority="107" operator="equal">
      <formula>"-"</formula>
    </cfRule>
  </conditionalFormatting>
  <conditionalFormatting sqref="L93:L102">
    <cfRule type="cellIs" dxfId="48" priority="93" operator="lessThan">
      <formula>-0.01</formula>
    </cfRule>
    <cfRule type="cellIs" dxfId="47" priority="94" operator="greaterThan">
      <formula>0.01</formula>
    </cfRule>
  </conditionalFormatting>
  <conditionalFormatting sqref="L102">
    <cfRule type="cellIs" dxfId="46" priority="92" operator="equal">
      <formula>"-"</formula>
    </cfRule>
  </conditionalFormatting>
  <conditionalFormatting sqref="L93:L102">
    <cfRule type="cellIs" dxfId="45" priority="91" operator="equal">
      <formula>"-"</formula>
    </cfRule>
  </conditionalFormatting>
  <conditionalFormatting sqref="L93:L102">
    <cfRule type="cellIs" dxfId="44" priority="90" operator="equal">
      <formula>"-"</formula>
    </cfRule>
  </conditionalFormatting>
  <conditionalFormatting sqref="L93:L102">
    <cfRule type="cellIs" dxfId="43" priority="89" operator="equal">
      <formula>"-"</formula>
    </cfRule>
  </conditionalFormatting>
  <conditionalFormatting sqref="E130:E139 H130:H139 K130:K139">
    <cfRule type="cellIs" dxfId="42" priority="51" operator="lessThan">
      <formula>-0.01</formula>
    </cfRule>
    <cfRule type="cellIs" dxfId="41" priority="52" operator="greaterThan">
      <formula>0.01</formula>
    </cfRule>
  </conditionalFormatting>
  <conditionalFormatting sqref="E130:E139">
    <cfRule type="cellIs" dxfId="40" priority="50" operator="equal">
      <formula>"-"</formula>
    </cfRule>
  </conditionalFormatting>
  <conditionalFormatting sqref="E130:E138">
    <cfRule type="cellIs" dxfId="39" priority="49" operator="equal">
      <formula>"-"</formula>
    </cfRule>
  </conditionalFormatting>
  <conditionalFormatting sqref="H139">
    <cfRule type="cellIs" dxfId="38" priority="48" operator="equal">
      <formula>"-"</formula>
    </cfRule>
  </conditionalFormatting>
  <conditionalFormatting sqref="H130:H138">
    <cfRule type="cellIs" dxfId="37" priority="47" operator="equal">
      <formula>"-"</formula>
    </cfRule>
  </conditionalFormatting>
  <conditionalFormatting sqref="K139">
    <cfRule type="cellIs" dxfId="36" priority="46" operator="equal">
      <formula>"-"</formula>
    </cfRule>
  </conditionalFormatting>
  <conditionalFormatting sqref="K130:K138">
    <cfRule type="cellIs" dxfId="35" priority="45" operator="equal">
      <formula>"-"</formula>
    </cfRule>
  </conditionalFormatting>
  <conditionalFormatting sqref="H130:H139">
    <cfRule type="cellIs" dxfId="34" priority="44" operator="equal">
      <formula>"-"</formula>
    </cfRule>
  </conditionalFormatting>
  <conditionalFormatting sqref="H130:H138">
    <cfRule type="cellIs" dxfId="33" priority="43" operator="equal">
      <formula>"-"</formula>
    </cfRule>
  </conditionalFormatting>
  <conditionalFormatting sqref="K130:K139">
    <cfRule type="cellIs" dxfId="32" priority="42" operator="equal">
      <formula>"-"</formula>
    </cfRule>
  </conditionalFormatting>
  <conditionalFormatting sqref="K130:K138">
    <cfRule type="cellIs" dxfId="31" priority="41" operator="equal">
      <formula>"-"</formula>
    </cfRule>
  </conditionalFormatting>
  <conditionalFormatting sqref="E145:E154 H145:H154 K145:K154">
    <cfRule type="cellIs" dxfId="30" priority="39" operator="lessThan">
      <formula>-0.01</formula>
    </cfRule>
    <cfRule type="cellIs" dxfId="29" priority="40" operator="greaterThan">
      <formula>0.01</formula>
    </cfRule>
  </conditionalFormatting>
  <conditionalFormatting sqref="E145:E154">
    <cfRule type="cellIs" dxfId="28" priority="38" operator="equal">
      <formula>"-"</formula>
    </cfRule>
  </conditionalFormatting>
  <conditionalFormatting sqref="E145:E153">
    <cfRule type="cellIs" dxfId="27" priority="37" operator="equal">
      <formula>"-"</formula>
    </cfRule>
  </conditionalFormatting>
  <conditionalFormatting sqref="H154">
    <cfRule type="cellIs" dxfId="26" priority="36" operator="equal">
      <formula>"-"</formula>
    </cfRule>
  </conditionalFormatting>
  <conditionalFormatting sqref="H145:H153">
    <cfRule type="cellIs" dxfId="25" priority="35" operator="equal">
      <formula>"-"</formula>
    </cfRule>
  </conditionalFormatting>
  <conditionalFormatting sqref="K154">
    <cfRule type="cellIs" dxfId="24" priority="34" operator="equal">
      <formula>"-"</formula>
    </cfRule>
  </conditionalFormatting>
  <conditionalFormatting sqref="K145:K153">
    <cfRule type="cellIs" dxfId="23" priority="33" operator="equal">
      <formula>"-"</formula>
    </cfRule>
  </conditionalFormatting>
  <conditionalFormatting sqref="H145:H154">
    <cfRule type="cellIs" dxfId="22" priority="32" operator="equal">
      <formula>"-"</formula>
    </cfRule>
  </conditionalFormatting>
  <conditionalFormatting sqref="H145:H153">
    <cfRule type="cellIs" dxfId="21" priority="31" operator="equal">
      <formula>"-"</formula>
    </cfRule>
  </conditionalFormatting>
  <conditionalFormatting sqref="K145:K154">
    <cfRule type="cellIs" dxfId="20" priority="30" operator="equal">
      <formula>"-"</formula>
    </cfRule>
  </conditionalFormatting>
  <conditionalFormatting sqref="K145:K153">
    <cfRule type="cellIs" dxfId="19" priority="29" operator="equal">
      <formula>"-"</formula>
    </cfRule>
  </conditionalFormatting>
  <conditionalFormatting sqref="L130:L139">
    <cfRule type="cellIs" dxfId="18" priority="27" operator="lessThan">
      <formula>-0.01</formula>
    </cfRule>
    <cfRule type="cellIs" dxfId="17" priority="28" operator="greaterThan">
      <formula>0.01</formula>
    </cfRule>
  </conditionalFormatting>
  <conditionalFormatting sqref="L139">
    <cfRule type="cellIs" dxfId="16" priority="26" operator="equal">
      <formula>"-"</formula>
    </cfRule>
  </conditionalFormatting>
  <conditionalFormatting sqref="L130:L139">
    <cfRule type="cellIs" dxfId="15" priority="25" operator="equal">
      <formula>"-"</formula>
    </cfRule>
  </conditionalFormatting>
  <conditionalFormatting sqref="L130:L139">
    <cfRule type="cellIs" dxfId="14" priority="24" operator="equal">
      <formula>"-"</formula>
    </cfRule>
  </conditionalFormatting>
  <conditionalFormatting sqref="L130:L139">
    <cfRule type="cellIs" dxfId="13" priority="23" operator="equal">
      <formula>"-"</formula>
    </cfRule>
  </conditionalFormatting>
  <conditionalFormatting sqref="L145:L154">
    <cfRule type="cellIs" dxfId="12" priority="21" operator="lessThan">
      <formula>-0.01</formula>
    </cfRule>
    <cfRule type="cellIs" dxfId="11" priority="22" operator="greaterThan">
      <formula>0.01</formula>
    </cfRule>
  </conditionalFormatting>
  <conditionalFormatting sqref="L154">
    <cfRule type="cellIs" dxfId="10" priority="20" operator="equal">
      <formula>"-"</formula>
    </cfRule>
  </conditionalFormatting>
  <conditionalFormatting sqref="L145:L154">
    <cfRule type="cellIs" dxfId="9" priority="19" operator="equal">
      <formula>"-"</formula>
    </cfRule>
  </conditionalFormatting>
  <conditionalFormatting sqref="L145:L154">
    <cfRule type="cellIs" dxfId="8" priority="18" operator="equal">
      <formula>"-"</formula>
    </cfRule>
  </conditionalFormatting>
  <conditionalFormatting sqref="L145:L154">
    <cfRule type="cellIs" dxfId="7" priority="17" operator="equal">
      <formula>"-"</formula>
    </cfRule>
  </conditionalFormatting>
  <conditionalFormatting sqref="O75">
    <cfRule type="cellIs" dxfId="6" priority="14" operator="equal">
      <formula>"ENTER CORRECTIONS"</formula>
    </cfRule>
    <cfRule type="cellIs" dxfId="5" priority="16" operator="equal">
      <formula>"NO CORRECTIONS NEEDED"</formula>
    </cfRule>
  </conditionalFormatting>
  <conditionalFormatting sqref="O127">
    <cfRule type="cellIs" dxfId="4" priority="13" operator="equal">
      <formula>"REDO CALIBRATION"</formula>
    </cfRule>
    <cfRule type="cellIs" dxfId="3" priority="15" operator="equal">
      <formula>"NO CORRECTIONS NEEDED"</formula>
    </cfRule>
  </conditionalFormatting>
  <conditionalFormatting sqref="S76:U87">
    <cfRule type="expression" priority="12">
      <formula>"$C$27=Starrett Deadweight"</formula>
    </cfRule>
  </conditionalFormatting>
  <conditionalFormatting sqref="S103:U103">
    <cfRule type="expression" priority="10">
      <formula>"$C$27=Starrett Deadweight"</formula>
    </cfRule>
  </conditionalFormatting>
  <conditionalFormatting sqref="S143:U154">
    <cfRule type="expression" priority="4">
      <formula>"$C$27=Starrett Deadweight"</formula>
    </cfRule>
  </conditionalFormatting>
  <conditionalFormatting sqref="S91:U102">
    <cfRule type="expression" priority="6">
      <formula>"$C$27=Starrett Deadweight"</formula>
    </cfRule>
  </conditionalFormatting>
  <conditionalFormatting sqref="S128:U139">
    <cfRule type="expression" priority="5">
      <formula>"$C$27=Starrett Deadweight"</formula>
    </cfRule>
  </conditionalFormatting>
  <conditionalFormatting sqref="O90:R90">
    <cfRule type="cellIs" dxfId="2" priority="2" operator="equal">
      <formula>"ENTER CORRECTIONS"</formula>
    </cfRule>
    <cfRule type="cellIs" dxfId="1" priority="3" operator="equal">
      <formula>"NO CORRECTIONS NEEDED"</formula>
    </cfRule>
  </conditionalFormatting>
  <conditionalFormatting sqref="L8:N8 L3:N3">
    <cfRule type="cellIs" dxfId="0" priority="1" operator="equal">
      <formula>1</formula>
    </cfRule>
  </conditionalFormatting>
  <hyperlinks>
    <hyperlink ref="R8" r:id="rId1"/>
  </hyperlinks>
  <pageMargins left="0.7" right="0.7" top="0.87270833333333331" bottom="0.87270833333333331" header="0.3" footer="0.3"/>
  <pageSetup scale="69" fitToHeight="0" orientation="portrait" r:id="rId2"/>
  <headerFooter>
    <oddHeader>&amp;C&amp;G</oddHeader>
    <oddFooter>&amp;L&amp;10THE L. S. STARRETT COMPANY
121 Crescent Street
Athol, Massachusetts 01331
Telephone: (978) 249-3551 &amp;CPage &amp;P of &amp;N&amp;R&amp;8Rev.  2.0</oddFooter>
  </headerFooter>
  <drawing r:id="rId3"/>
  <legacyDrawing r:id="rId4"/>
  <legacyDrawingHF r:id="rId5"/>
  <extLst>
    <ext xmlns:x14="http://schemas.microsoft.com/office/spreadsheetml/2009/9/main" uri="{CCE6A557-97BC-4b89-ADB6-D9C93CAAB3DF}">
      <x14:dataValidations xmlns:xm="http://schemas.microsoft.com/office/excel/2006/main" count="4">
        <x14:dataValidation type="list" allowBlank="1" showInputMessage="1" showErrorMessage="1">
          <x14:formula1>
            <xm:f>'Drop Down Lists'!$A$16:$A$39</xm:f>
          </x14:formula1>
          <xm:sqref>G15</xm:sqref>
        </x14:dataValidation>
        <x14:dataValidation type="list" allowBlank="1" showInputMessage="1" showErrorMessage="1">
          <x14:formula1>
            <xm:f>'Drop Down Lists'!$A$42:$A$82</xm:f>
          </x14:formula1>
          <xm:sqref>G16</xm:sqref>
        </x14:dataValidation>
        <x14:dataValidation type="list" allowBlank="1" showInputMessage="1" showErrorMessage="1">
          <x14:formula1>
            <xm:f>'Drop Down Lists'!$A$7:$A$13</xm:f>
          </x14:formula1>
          <xm:sqref>G17</xm:sqref>
        </x14:dataValidation>
        <x14:dataValidation type="list" allowBlank="1" showInputMessage="1" showErrorMessage="1">
          <x14:formula1>
            <xm:f>'Calibration Standards'!$B$7:$B$12</xm:f>
          </x14:formula1>
          <xm:sqref>E36:F36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89"/>
  <sheetViews>
    <sheetView topLeftCell="A51" workbookViewId="0">
      <selection activeCell="E67" sqref="A28:E67"/>
    </sheetView>
  </sheetViews>
  <sheetFormatPr defaultRowHeight="15" x14ac:dyDescent="0.25"/>
  <cols>
    <col min="1" max="1" width="17" style="14" customWidth="1"/>
    <col min="2" max="11" width="10.7109375" style="14" customWidth="1"/>
    <col min="12" max="16384" width="9.140625" style="14"/>
  </cols>
  <sheetData>
    <row r="2" spans="1:13" x14ac:dyDescent="0.25">
      <c r="E2" s="17"/>
      <c r="F2" s="17" t="s">
        <v>56</v>
      </c>
    </row>
    <row r="3" spans="1:13" x14ac:dyDescent="0.25">
      <c r="A3" s="18" t="s">
        <v>57</v>
      </c>
      <c r="B3" s="19">
        <v>1</v>
      </c>
      <c r="C3" s="19">
        <v>2</v>
      </c>
      <c r="D3" s="19">
        <v>3</v>
      </c>
      <c r="E3" s="19">
        <v>4</v>
      </c>
      <c r="F3" s="19">
        <v>5</v>
      </c>
      <c r="G3" s="19">
        <v>6</v>
      </c>
      <c r="H3" s="19">
        <v>7</v>
      </c>
      <c r="I3" s="19">
        <v>8</v>
      </c>
      <c r="J3" s="19">
        <v>9</v>
      </c>
      <c r="K3" s="19">
        <v>10</v>
      </c>
    </row>
    <row r="4" spans="1:13" x14ac:dyDescent="0.25">
      <c r="A4" s="29">
        <v>0.5</v>
      </c>
      <c r="B4" s="21" t="s">
        <v>308</v>
      </c>
      <c r="C4" s="21" t="s">
        <v>309</v>
      </c>
      <c r="D4" s="21" t="s">
        <v>310</v>
      </c>
      <c r="E4" s="21" t="s">
        <v>311</v>
      </c>
      <c r="F4" s="21" t="s">
        <v>312</v>
      </c>
      <c r="G4" s="22" t="s">
        <v>29</v>
      </c>
      <c r="H4" s="22" t="s">
        <v>29</v>
      </c>
      <c r="I4" s="22" t="s">
        <v>29</v>
      </c>
      <c r="J4" s="22" t="s">
        <v>29</v>
      </c>
      <c r="K4" s="22" t="s">
        <v>29</v>
      </c>
      <c r="M4" s="14">
        <v>0.01</v>
      </c>
    </row>
    <row r="5" spans="1:13" x14ac:dyDescent="0.25">
      <c r="A5" s="29">
        <v>1</v>
      </c>
      <c r="B5" s="21" t="s">
        <v>309</v>
      </c>
      <c r="C5" s="21" t="s">
        <v>310</v>
      </c>
      <c r="D5" s="21" t="s">
        <v>313</v>
      </c>
      <c r="E5" s="21" t="s">
        <v>314</v>
      </c>
      <c r="F5" s="21" t="s">
        <v>315</v>
      </c>
      <c r="G5" s="22" t="s">
        <v>29</v>
      </c>
      <c r="H5" s="22" t="s">
        <v>29</v>
      </c>
      <c r="I5" s="22" t="s">
        <v>29</v>
      </c>
      <c r="J5" s="22" t="s">
        <v>29</v>
      </c>
      <c r="K5" s="22" t="s">
        <v>29</v>
      </c>
      <c r="M5" s="14">
        <v>0.02</v>
      </c>
    </row>
    <row r="6" spans="1:13" x14ac:dyDescent="0.25">
      <c r="A6" s="29">
        <v>2</v>
      </c>
      <c r="B6" s="21" t="s">
        <v>310</v>
      </c>
      <c r="C6" s="21" t="s">
        <v>313</v>
      </c>
      <c r="D6" s="21" t="s">
        <v>316</v>
      </c>
      <c r="E6" s="21" t="s">
        <v>317</v>
      </c>
      <c r="F6" s="21" t="s">
        <v>318</v>
      </c>
      <c r="G6" s="22" t="s">
        <v>29</v>
      </c>
      <c r="H6" s="22" t="s">
        <v>29</v>
      </c>
      <c r="I6" s="22" t="s">
        <v>29</v>
      </c>
      <c r="J6" s="22" t="s">
        <v>29</v>
      </c>
      <c r="K6" s="22" t="s">
        <v>29</v>
      </c>
      <c r="M6" s="14">
        <v>0.04</v>
      </c>
    </row>
    <row r="7" spans="1:13" x14ac:dyDescent="0.25">
      <c r="A7" s="29">
        <v>5</v>
      </c>
      <c r="B7" s="21" t="s">
        <v>312</v>
      </c>
      <c r="C7" s="21" t="s">
        <v>315</v>
      </c>
      <c r="D7" s="21" t="s">
        <v>318</v>
      </c>
      <c r="E7" s="21" t="s">
        <v>319</v>
      </c>
      <c r="F7" s="21" t="s">
        <v>320</v>
      </c>
      <c r="G7" s="22" t="s">
        <v>29</v>
      </c>
      <c r="H7" s="22" t="s">
        <v>29</v>
      </c>
      <c r="I7" s="22" t="s">
        <v>29</v>
      </c>
      <c r="J7" s="22" t="s">
        <v>29</v>
      </c>
      <c r="K7" s="22" t="s">
        <v>29</v>
      </c>
      <c r="M7" s="14">
        <v>0.1</v>
      </c>
    </row>
    <row r="8" spans="1:13" x14ac:dyDescent="0.25">
      <c r="A8" s="29">
        <v>10</v>
      </c>
      <c r="B8" s="21" t="s">
        <v>315</v>
      </c>
      <c r="C8" s="21" t="s">
        <v>318</v>
      </c>
      <c r="D8" s="21" t="s">
        <v>321</v>
      </c>
      <c r="E8" s="21" t="s">
        <v>322</v>
      </c>
      <c r="F8" s="21" t="s">
        <v>323</v>
      </c>
      <c r="G8" s="22" t="s">
        <v>29</v>
      </c>
      <c r="H8" s="22" t="s">
        <v>29</v>
      </c>
      <c r="I8" s="22" t="s">
        <v>29</v>
      </c>
      <c r="J8" s="22" t="s">
        <v>29</v>
      </c>
      <c r="K8" s="22" t="s">
        <v>29</v>
      </c>
      <c r="M8" s="14">
        <v>0.2</v>
      </c>
    </row>
    <row r="9" spans="1:13" x14ac:dyDescent="0.25">
      <c r="A9" s="29">
        <v>25</v>
      </c>
      <c r="B9" s="21" t="s">
        <v>318</v>
      </c>
      <c r="C9" s="21" t="s">
        <v>321</v>
      </c>
      <c r="D9" s="21" t="s">
        <v>324</v>
      </c>
      <c r="E9" s="21" t="s">
        <v>325</v>
      </c>
      <c r="F9" s="21" t="s">
        <v>326</v>
      </c>
      <c r="G9" s="21" t="s">
        <v>327</v>
      </c>
      <c r="H9" s="22" t="s">
        <v>29</v>
      </c>
      <c r="I9" s="22" t="s">
        <v>29</v>
      </c>
      <c r="J9" s="22" t="s">
        <v>29</v>
      </c>
      <c r="K9" s="22" t="s">
        <v>29</v>
      </c>
      <c r="M9" s="14">
        <v>0.5</v>
      </c>
    </row>
    <row r="10" spans="1:13" x14ac:dyDescent="0.25">
      <c r="A10" s="29">
        <v>50</v>
      </c>
      <c r="B10" s="21" t="s">
        <v>318</v>
      </c>
      <c r="C10" s="21" t="s">
        <v>321</v>
      </c>
      <c r="D10" s="21" t="s">
        <v>324</v>
      </c>
      <c r="E10" s="21" t="s">
        <v>325</v>
      </c>
      <c r="F10" s="21" t="s">
        <v>326</v>
      </c>
      <c r="G10" s="21" t="s">
        <v>328</v>
      </c>
      <c r="H10" s="21" t="s">
        <v>329</v>
      </c>
      <c r="I10" s="21" t="s">
        <v>330</v>
      </c>
      <c r="J10" s="22" t="s">
        <v>29</v>
      </c>
      <c r="K10" s="22" t="s">
        <v>29</v>
      </c>
      <c r="M10" s="14">
        <v>1</v>
      </c>
    </row>
    <row r="11" spans="1:13" x14ac:dyDescent="0.25">
      <c r="A11" s="30">
        <v>100</v>
      </c>
      <c r="B11" s="26" t="s">
        <v>318</v>
      </c>
      <c r="C11" s="26" t="s">
        <v>321</v>
      </c>
      <c r="D11" s="26" t="s">
        <v>324</v>
      </c>
      <c r="E11" s="26" t="s">
        <v>325</v>
      </c>
      <c r="F11" s="26" t="s">
        <v>326</v>
      </c>
      <c r="G11" s="21" t="s">
        <v>329</v>
      </c>
      <c r="H11" s="21" t="s">
        <v>331</v>
      </c>
      <c r="I11" s="21" t="s">
        <v>332</v>
      </c>
      <c r="J11" s="21" t="s">
        <v>333</v>
      </c>
      <c r="K11" s="22" t="s">
        <v>29</v>
      </c>
      <c r="M11" s="14">
        <v>2</v>
      </c>
    </row>
    <row r="12" spans="1:13" x14ac:dyDescent="0.25">
      <c r="A12" s="25">
        <v>125</v>
      </c>
      <c r="B12" s="27" t="s">
        <v>58</v>
      </c>
      <c r="C12" s="27" t="s">
        <v>59</v>
      </c>
      <c r="D12" s="27" t="s">
        <v>60</v>
      </c>
      <c r="E12" s="27" t="s">
        <v>61</v>
      </c>
      <c r="F12" s="27" t="s">
        <v>62</v>
      </c>
      <c r="G12" s="21" t="s">
        <v>63</v>
      </c>
      <c r="H12" s="21" t="s">
        <v>64</v>
      </c>
      <c r="I12" s="21" t="s">
        <v>74</v>
      </c>
      <c r="J12" s="21" t="s">
        <v>334</v>
      </c>
      <c r="K12" s="24" t="s">
        <v>29</v>
      </c>
      <c r="M12" s="14">
        <v>2.5</v>
      </c>
    </row>
    <row r="13" spans="1:13" x14ac:dyDescent="0.25">
      <c r="A13" s="20">
        <v>200</v>
      </c>
      <c r="B13" s="27" t="s">
        <v>58</v>
      </c>
      <c r="C13" s="27" t="s">
        <v>59</v>
      </c>
      <c r="D13" s="27" t="s">
        <v>60</v>
      </c>
      <c r="E13" s="27" t="s">
        <v>61</v>
      </c>
      <c r="F13" s="27" t="s">
        <v>62</v>
      </c>
      <c r="G13" s="21" t="s">
        <v>63</v>
      </c>
      <c r="H13" s="21" t="s">
        <v>64</v>
      </c>
      <c r="I13" s="21" t="s">
        <v>65</v>
      </c>
      <c r="J13" s="21" t="s">
        <v>66</v>
      </c>
      <c r="K13" s="21" t="s">
        <v>67</v>
      </c>
      <c r="M13" s="14">
        <v>4</v>
      </c>
    </row>
    <row r="14" spans="1:13" x14ac:dyDescent="0.25">
      <c r="A14" s="20">
        <v>250</v>
      </c>
      <c r="B14" s="27" t="s">
        <v>68</v>
      </c>
      <c r="C14" s="27" t="s">
        <v>69</v>
      </c>
      <c r="D14" s="27" t="s">
        <v>70</v>
      </c>
      <c r="E14" s="27" t="s">
        <v>71</v>
      </c>
      <c r="F14" s="27" t="s">
        <v>72</v>
      </c>
      <c r="G14" s="27" t="s">
        <v>73</v>
      </c>
      <c r="H14" s="27" t="s">
        <v>74</v>
      </c>
      <c r="I14" s="27" t="s">
        <v>75</v>
      </c>
      <c r="J14" s="27" t="s">
        <v>67</v>
      </c>
      <c r="K14" s="21" t="s">
        <v>76</v>
      </c>
      <c r="M14" s="14">
        <v>5</v>
      </c>
    </row>
    <row r="15" spans="1:13" x14ac:dyDescent="0.25">
      <c r="A15" s="20">
        <v>500</v>
      </c>
      <c r="B15" s="21" t="s">
        <v>69</v>
      </c>
      <c r="C15" s="21" t="s">
        <v>70</v>
      </c>
      <c r="D15" s="21" t="s">
        <v>62</v>
      </c>
      <c r="E15" s="21" t="s">
        <v>77</v>
      </c>
      <c r="F15" s="21" t="s">
        <v>73</v>
      </c>
      <c r="G15" s="21" t="s">
        <v>74</v>
      </c>
      <c r="H15" s="21" t="s">
        <v>67</v>
      </c>
      <c r="I15" s="21" t="s">
        <v>78</v>
      </c>
      <c r="J15" s="21" t="s">
        <v>79</v>
      </c>
      <c r="K15" s="21" t="s">
        <v>80</v>
      </c>
      <c r="M15" s="14">
        <v>10</v>
      </c>
    </row>
    <row r="16" spans="1:13" x14ac:dyDescent="0.25">
      <c r="A16" s="20">
        <v>1000</v>
      </c>
      <c r="B16" s="21" t="s">
        <v>70</v>
      </c>
      <c r="C16" s="21" t="s">
        <v>62</v>
      </c>
      <c r="D16" s="21" t="s">
        <v>63</v>
      </c>
      <c r="E16" s="21" t="s">
        <v>81</v>
      </c>
      <c r="F16" s="21" t="s">
        <v>74</v>
      </c>
      <c r="G16" s="21" t="s">
        <v>67</v>
      </c>
      <c r="H16" s="21" t="s">
        <v>79</v>
      </c>
      <c r="I16" s="21" t="s">
        <v>82</v>
      </c>
      <c r="J16" s="21" t="s">
        <v>83</v>
      </c>
      <c r="K16" s="21" t="s">
        <v>84</v>
      </c>
      <c r="M16" s="14">
        <v>20</v>
      </c>
    </row>
    <row r="17" spans="1:13" x14ac:dyDescent="0.25">
      <c r="A17" s="20">
        <v>1500</v>
      </c>
      <c r="B17" s="21" t="s">
        <v>85</v>
      </c>
      <c r="C17" s="21" t="s">
        <v>86</v>
      </c>
      <c r="D17" s="21" t="s">
        <v>87</v>
      </c>
      <c r="E17" s="21" t="s">
        <v>88</v>
      </c>
      <c r="F17" s="21" t="s">
        <v>75</v>
      </c>
      <c r="G17" s="21" t="s">
        <v>78</v>
      </c>
      <c r="H17" s="21" t="s">
        <v>82</v>
      </c>
      <c r="I17" s="21" t="s">
        <v>89</v>
      </c>
      <c r="J17" s="21" t="s">
        <v>90</v>
      </c>
      <c r="K17" s="21" t="s">
        <v>91</v>
      </c>
      <c r="M17" s="14">
        <v>30</v>
      </c>
    </row>
    <row r="18" spans="1:13" x14ac:dyDescent="0.25">
      <c r="A18" s="20">
        <v>2000</v>
      </c>
      <c r="B18" s="21" t="s">
        <v>62</v>
      </c>
      <c r="C18" s="21" t="s">
        <v>63</v>
      </c>
      <c r="D18" s="21" t="s">
        <v>64</v>
      </c>
      <c r="E18" s="21" t="s">
        <v>92</v>
      </c>
      <c r="F18" s="21" t="s">
        <v>67</v>
      </c>
      <c r="G18" s="21" t="s">
        <v>79</v>
      </c>
      <c r="H18" s="21" t="s">
        <v>83</v>
      </c>
      <c r="I18" s="21" t="s">
        <v>90</v>
      </c>
      <c r="J18" s="21" t="s">
        <v>93</v>
      </c>
      <c r="K18" s="21" t="s">
        <v>94</v>
      </c>
      <c r="M18" s="14">
        <v>40</v>
      </c>
    </row>
    <row r="19" spans="1:13" x14ac:dyDescent="0.25">
      <c r="A19" s="20">
        <v>2500</v>
      </c>
      <c r="B19" s="21" t="s">
        <v>72</v>
      </c>
      <c r="C19" s="21" t="s">
        <v>73</v>
      </c>
      <c r="D19" s="21" t="s">
        <v>74</v>
      </c>
      <c r="E19" s="21" t="s">
        <v>95</v>
      </c>
      <c r="F19" s="21" t="s">
        <v>76</v>
      </c>
      <c r="G19" s="21" t="s">
        <v>80</v>
      </c>
      <c r="H19" s="21" t="s">
        <v>84</v>
      </c>
      <c r="I19" s="21" t="s">
        <v>91</v>
      </c>
      <c r="J19" s="21" t="s">
        <v>94</v>
      </c>
      <c r="K19" s="21" t="s">
        <v>96</v>
      </c>
      <c r="M19" s="14">
        <v>50</v>
      </c>
    </row>
    <row r="20" spans="1:13" x14ac:dyDescent="0.25">
      <c r="A20" s="20">
        <v>5000</v>
      </c>
      <c r="B20" s="21" t="s">
        <v>73</v>
      </c>
      <c r="C20" s="21" t="s">
        <v>74</v>
      </c>
      <c r="D20" s="21" t="s">
        <v>67</v>
      </c>
      <c r="E20" s="21" t="s">
        <v>97</v>
      </c>
      <c r="F20" s="21" t="s">
        <v>80</v>
      </c>
      <c r="G20" s="21" t="s">
        <v>84</v>
      </c>
      <c r="H20" s="21" t="s">
        <v>94</v>
      </c>
      <c r="I20" s="21" t="s">
        <v>98</v>
      </c>
      <c r="J20" s="21" t="s">
        <v>99</v>
      </c>
      <c r="K20" s="21" t="s">
        <v>100</v>
      </c>
      <c r="M20" s="14">
        <v>100</v>
      </c>
    </row>
    <row r="21" spans="1:13" x14ac:dyDescent="0.25">
      <c r="A21" s="20">
        <v>10000</v>
      </c>
      <c r="B21" s="21" t="s">
        <v>74</v>
      </c>
      <c r="C21" s="21" t="s">
        <v>67</v>
      </c>
      <c r="D21" s="21" t="s">
        <v>79</v>
      </c>
      <c r="E21" s="21" t="s">
        <v>101</v>
      </c>
      <c r="F21" s="21" t="s">
        <v>84</v>
      </c>
      <c r="G21" s="21" t="s">
        <v>94</v>
      </c>
      <c r="H21" s="21" t="s">
        <v>99</v>
      </c>
      <c r="I21" s="21" t="s">
        <v>102</v>
      </c>
      <c r="J21" s="21" t="s">
        <v>103</v>
      </c>
      <c r="K21" s="21" t="s">
        <v>104</v>
      </c>
      <c r="M21" s="14">
        <v>200</v>
      </c>
    </row>
    <row r="22" spans="1:13" x14ac:dyDescent="0.25">
      <c r="A22" s="20">
        <v>25000</v>
      </c>
      <c r="B22" s="21" t="s">
        <v>76</v>
      </c>
      <c r="C22" s="21" t="s">
        <v>80</v>
      </c>
      <c r="D22" s="21" t="s">
        <v>84</v>
      </c>
      <c r="E22" s="21" t="s">
        <v>105</v>
      </c>
      <c r="F22" s="21" t="s">
        <v>96</v>
      </c>
      <c r="G22" s="21" t="s">
        <v>100</v>
      </c>
      <c r="H22" s="21" t="s">
        <v>104</v>
      </c>
      <c r="I22" s="21" t="s">
        <v>106</v>
      </c>
      <c r="J22" s="21" t="s">
        <v>107</v>
      </c>
      <c r="K22" s="21" t="s">
        <v>108</v>
      </c>
      <c r="M22" s="14">
        <v>500</v>
      </c>
    </row>
    <row r="23" spans="1:13" x14ac:dyDescent="0.25">
      <c r="A23" s="20">
        <v>50000</v>
      </c>
      <c r="B23" s="21" t="s">
        <v>80</v>
      </c>
      <c r="C23" s="21" t="s">
        <v>84</v>
      </c>
      <c r="D23" s="21" t="s">
        <v>94</v>
      </c>
      <c r="E23" s="21" t="s">
        <v>109</v>
      </c>
      <c r="F23" s="21" t="s">
        <v>100</v>
      </c>
      <c r="G23" s="21" t="s">
        <v>104</v>
      </c>
      <c r="H23" s="21" t="s">
        <v>107</v>
      </c>
      <c r="I23" s="21" t="s">
        <v>110</v>
      </c>
      <c r="J23" s="21" t="s">
        <v>111</v>
      </c>
      <c r="K23" s="21" t="s">
        <v>112</v>
      </c>
      <c r="M23" s="14">
        <v>1000</v>
      </c>
    </row>
    <row r="24" spans="1:13" x14ac:dyDescent="0.25">
      <c r="A24" s="20" t="s">
        <v>113</v>
      </c>
      <c r="B24" s="179" t="s">
        <v>29</v>
      </c>
      <c r="C24" s="179" t="s">
        <v>29</v>
      </c>
      <c r="D24" s="179" t="s">
        <v>29</v>
      </c>
      <c r="E24" s="179" t="s">
        <v>29</v>
      </c>
      <c r="F24" s="179" t="s">
        <v>29</v>
      </c>
      <c r="G24" s="179" t="s">
        <v>29</v>
      </c>
      <c r="H24" s="179" t="s">
        <v>29</v>
      </c>
      <c r="I24" s="179" t="s">
        <v>29</v>
      </c>
      <c r="J24" s="179" t="s">
        <v>29</v>
      </c>
      <c r="K24" s="179" t="s">
        <v>29</v>
      </c>
    </row>
    <row r="26" spans="1:13" ht="15" customHeight="1" x14ac:dyDescent="0.25">
      <c r="A26" s="398" t="s">
        <v>155</v>
      </c>
      <c r="B26" s="399" t="s">
        <v>227</v>
      </c>
      <c r="C26" s="399"/>
      <c r="D26" s="399"/>
    </row>
    <row r="27" spans="1:13" ht="30" x14ac:dyDescent="0.25">
      <c r="A27" s="398"/>
      <c r="B27" s="46" t="s">
        <v>27</v>
      </c>
      <c r="C27" s="46" t="s">
        <v>228</v>
      </c>
      <c r="D27" s="46" t="s">
        <v>229</v>
      </c>
      <c r="E27" s="252" t="s">
        <v>408</v>
      </c>
    </row>
    <row r="28" spans="1:13" x14ac:dyDescent="0.25">
      <c r="A28" s="47" t="s">
        <v>140</v>
      </c>
      <c r="B28" s="48">
        <v>0.5</v>
      </c>
      <c r="C28" s="49">
        <f>B28*0.224</f>
        <v>0.112</v>
      </c>
      <c r="D28" s="48">
        <f>B28*0.1</f>
        <v>0.05</v>
      </c>
      <c r="E28" s="23">
        <f>D28*1000</f>
        <v>50</v>
      </c>
    </row>
    <row r="29" spans="1:13" x14ac:dyDescent="0.25">
      <c r="A29" s="47" t="s">
        <v>139</v>
      </c>
      <c r="B29" s="48">
        <v>1</v>
      </c>
      <c r="C29" s="49">
        <f t="shared" ref="C29:C30" si="0">B29*0.224</f>
        <v>0.224</v>
      </c>
      <c r="D29" s="48">
        <f t="shared" ref="D29:D36" si="1">B29*0.1</f>
        <v>0.1</v>
      </c>
      <c r="E29" s="23">
        <f t="shared" ref="E29:E35" si="2">D29*1000</f>
        <v>100</v>
      </c>
    </row>
    <row r="30" spans="1:13" x14ac:dyDescent="0.25">
      <c r="A30" s="47" t="s">
        <v>138</v>
      </c>
      <c r="B30" s="48">
        <v>2</v>
      </c>
      <c r="C30" s="49">
        <f t="shared" si="0"/>
        <v>0.44800000000000001</v>
      </c>
      <c r="D30" s="48">
        <f t="shared" si="1"/>
        <v>0.2</v>
      </c>
      <c r="E30" s="23">
        <f t="shared" si="2"/>
        <v>200</v>
      </c>
    </row>
    <row r="31" spans="1:13" x14ac:dyDescent="0.25">
      <c r="A31" s="47" t="s">
        <v>137</v>
      </c>
      <c r="B31" s="50">
        <v>5</v>
      </c>
      <c r="C31" s="50">
        <v>1</v>
      </c>
      <c r="D31" s="48">
        <f t="shared" si="1"/>
        <v>0.5</v>
      </c>
      <c r="E31" s="23">
        <f t="shared" si="2"/>
        <v>500</v>
      </c>
    </row>
    <row r="32" spans="1:13" x14ac:dyDescent="0.25">
      <c r="A32" s="47" t="s">
        <v>136</v>
      </c>
      <c r="B32" s="50">
        <v>10</v>
      </c>
      <c r="C32" s="50">
        <v>2</v>
      </c>
      <c r="D32" s="48">
        <f t="shared" si="1"/>
        <v>1</v>
      </c>
      <c r="E32" s="23">
        <f t="shared" si="2"/>
        <v>1000</v>
      </c>
    </row>
    <row r="33" spans="1:5" x14ac:dyDescent="0.25">
      <c r="A33" s="47" t="s">
        <v>135</v>
      </c>
      <c r="B33" s="50">
        <v>25</v>
      </c>
      <c r="C33" s="50">
        <v>5</v>
      </c>
      <c r="D33" s="48">
        <f t="shared" si="1"/>
        <v>2.5</v>
      </c>
      <c r="E33" s="23">
        <f t="shared" si="2"/>
        <v>2500</v>
      </c>
    </row>
    <row r="34" spans="1:5" x14ac:dyDescent="0.25">
      <c r="A34" s="47" t="s">
        <v>134</v>
      </c>
      <c r="B34" s="50">
        <v>50</v>
      </c>
      <c r="C34" s="50">
        <v>11</v>
      </c>
      <c r="D34" s="48">
        <f t="shared" si="1"/>
        <v>5</v>
      </c>
      <c r="E34" s="23">
        <f t="shared" si="2"/>
        <v>5000</v>
      </c>
    </row>
    <row r="35" spans="1:5" x14ac:dyDescent="0.25">
      <c r="A35" s="47" t="s">
        <v>133</v>
      </c>
      <c r="B35" s="50">
        <v>100</v>
      </c>
      <c r="C35" s="50">
        <v>22</v>
      </c>
      <c r="D35" s="48">
        <f t="shared" si="1"/>
        <v>10</v>
      </c>
      <c r="E35" s="23">
        <f t="shared" si="2"/>
        <v>10000</v>
      </c>
    </row>
    <row r="36" spans="1:5" x14ac:dyDescent="0.25">
      <c r="A36" s="47" t="s">
        <v>132</v>
      </c>
      <c r="B36" s="50">
        <v>250</v>
      </c>
      <c r="C36" s="50">
        <v>56</v>
      </c>
      <c r="D36" s="48">
        <f t="shared" si="1"/>
        <v>25</v>
      </c>
      <c r="E36" s="23">
        <f>B36</f>
        <v>250</v>
      </c>
    </row>
    <row r="37" spans="1:5" x14ac:dyDescent="0.25">
      <c r="A37" s="47" t="s">
        <v>145</v>
      </c>
      <c r="B37" s="50">
        <v>500</v>
      </c>
      <c r="C37" s="50">
        <v>112</v>
      </c>
      <c r="D37" s="50">
        <v>50</v>
      </c>
      <c r="E37" s="23">
        <f t="shared" ref="E37:E41" si="3">B37</f>
        <v>500</v>
      </c>
    </row>
    <row r="38" spans="1:5" x14ac:dyDescent="0.25">
      <c r="A38" s="47" t="s">
        <v>144</v>
      </c>
      <c r="B38" s="50">
        <v>1000</v>
      </c>
      <c r="C38" s="50">
        <v>225</v>
      </c>
      <c r="D38" s="50">
        <v>100</v>
      </c>
      <c r="E38" s="23">
        <f t="shared" si="3"/>
        <v>1000</v>
      </c>
    </row>
    <row r="39" spans="1:5" x14ac:dyDescent="0.25">
      <c r="A39" s="47" t="s">
        <v>143</v>
      </c>
      <c r="B39" s="50">
        <v>2000</v>
      </c>
      <c r="C39" s="50">
        <v>450</v>
      </c>
      <c r="D39" s="50">
        <v>200</v>
      </c>
      <c r="E39" s="23">
        <f t="shared" si="3"/>
        <v>2000</v>
      </c>
    </row>
    <row r="40" spans="1:5" x14ac:dyDescent="0.25">
      <c r="A40" s="47" t="s">
        <v>142</v>
      </c>
      <c r="B40" s="50">
        <v>2500</v>
      </c>
      <c r="C40" s="50">
        <v>562</v>
      </c>
      <c r="D40" s="50">
        <v>250</v>
      </c>
      <c r="E40" s="23">
        <f t="shared" si="3"/>
        <v>2500</v>
      </c>
    </row>
    <row r="41" spans="1:5" x14ac:dyDescent="0.25">
      <c r="A41" s="47" t="s">
        <v>141</v>
      </c>
      <c r="B41" s="50">
        <v>5000</v>
      </c>
      <c r="C41" s="50">
        <v>1125</v>
      </c>
      <c r="D41" s="50">
        <v>500</v>
      </c>
      <c r="E41" s="23">
        <f t="shared" si="3"/>
        <v>5000</v>
      </c>
    </row>
    <row r="42" spans="1:5" x14ac:dyDescent="0.25">
      <c r="A42" s="47" t="s">
        <v>153</v>
      </c>
      <c r="B42" s="50">
        <v>50</v>
      </c>
      <c r="C42" s="50">
        <v>11</v>
      </c>
      <c r="D42" s="50">
        <v>5</v>
      </c>
      <c r="E42" s="23">
        <f t="shared" ref="E42:E43" si="4">D42*1000</f>
        <v>5000</v>
      </c>
    </row>
    <row r="43" spans="1:5" x14ac:dyDescent="0.25">
      <c r="A43" s="47" t="s">
        <v>152</v>
      </c>
      <c r="B43" s="50">
        <v>100</v>
      </c>
      <c r="C43" s="50">
        <v>22</v>
      </c>
      <c r="D43" s="50">
        <v>10</v>
      </c>
      <c r="E43" s="23">
        <f t="shared" si="4"/>
        <v>10000</v>
      </c>
    </row>
    <row r="44" spans="1:5" x14ac:dyDescent="0.25">
      <c r="A44" s="47" t="s">
        <v>151</v>
      </c>
      <c r="B44" s="50">
        <v>200</v>
      </c>
      <c r="C44" s="50">
        <v>44</v>
      </c>
      <c r="D44" s="50">
        <v>20</v>
      </c>
      <c r="E44" s="23">
        <f t="shared" ref="E44:E67" si="5">B44</f>
        <v>200</v>
      </c>
    </row>
    <row r="45" spans="1:5" x14ac:dyDescent="0.25">
      <c r="A45" s="47" t="s">
        <v>150</v>
      </c>
      <c r="B45" s="50">
        <v>500</v>
      </c>
      <c r="C45" s="50">
        <v>112</v>
      </c>
      <c r="D45" s="50">
        <v>50</v>
      </c>
      <c r="E45" s="23">
        <f t="shared" si="5"/>
        <v>500</v>
      </c>
    </row>
    <row r="46" spans="1:5" x14ac:dyDescent="0.25">
      <c r="A46" s="47" t="s">
        <v>149</v>
      </c>
      <c r="B46" s="50">
        <v>1000</v>
      </c>
      <c r="C46" s="50">
        <v>225</v>
      </c>
      <c r="D46" s="50">
        <v>100</v>
      </c>
      <c r="E46" s="23">
        <f t="shared" si="5"/>
        <v>1000</v>
      </c>
    </row>
    <row r="47" spans="1:5" x14ac:dyDescent="0.25">
      <c r="A47" s="47" t="s">
        <v>148</v>
      </c>
      <c r="B47" s="50">
        <v>2000</v>
      </c>
      <c r="C47" s="50">
        <v>450</v>
      </c>
      <c r="D47" s="50">
        <v>200</v>
      </c>
      <c r="E47" s="23">
        <f t="shared" si="5"/>
        <v>2000</v>
      </c>
    </row>
    <row r="48" spans="1:5" x14ac:dyDescent="0.25">
      <c r="A48" s="47" t="s">
        <v>147</v>
      </c>
      <c r="B48" s="50">
        <v>2500</v>
      </c>
      <c r="C48" s="50">
        <v>562</v>
      </c>
      <c r="D48" s="50">
        <v>250</v>
      </c>
      <c r="E48" s="23">
        <f t="shared" si="5"/>
        <v>2500</v>
      </c>
    </row>
    <row r="49" spans="1:5" x14ac:dyDescent="0.25">
      <c r="A49" s="47" t="s">
        <v>146</v>
      </c>
      <c r="B49" s="50">
        <v>5000</v>
      </c>
      <c r="C49" s="50">
        <v>1124</v>
      </c>
      <c r="D49" s="50">
        <v>500</v>
      </c>
      <c r="E49" s="23">
        <f t="shared" si="5"/>
        <v>5000</v>
      </c>
    </row>
    <row r="50" spans="1:5" x14ac:dyDescent="0.25">
      <c r="A50" s="47" t="s">
        <v>131</v>
      </c>
      <c r="B50" s="50">
        <v>125</v>
      </c>
      <c r="C50" s="50">
        <v>25</v>
      </c>
      <c r="D50" s="50">
        <f>B50/10</f>
        <v>12.5</v>
      </c>
      <c r="E50" s="23">
        <f t="shared" si="5"/>
        <v>125</v>
      </c>
    </row>
    <row r="51" spans="1:5" x14ac:dyDescent="0.25">
      <c r="A51" s="47" t="s">
        <v>130</v>
      </c>
      <c r="B51" s="50">
        <v>250</v>
      </c>
      <c r="C51" s="50">
        <v>50</v>
      </c>
      <c r="D51" s="50">
        <f t="shared" ref="D51:D54" si="6">B51/10</f>
        <v>25</v>
      </c>
      <c r="E51" s="23">
        <f t="shared" si="5"/>
        <v>250</v>
      </c>
    </row>
    <row r="52" spans="1:5" x14ac:dyDescent="0.25">
      <c r="A52" s="47" t="s">
        <v>129</v>
      </c>
      <c r="B52" s="50">
        <v>500</v>
      </c>
      <c r="C52" s="50">
        <v>112</v>
      </c>
      <c r="D52" s="50">
        <f t="shared" si="6"/>
        <v>50</v>
      </c>
      <c r="E52" s="23">
        <f t="shared" si="5"/>
        <v>500</v>
      </c>
    </row>
    <row r="53" spans="1:5" x14ac:dyDescent="0.25">
      <c r="A53" s="47" t="s">
        <v>128</v>
      </c>
      <c r="B53" s="50">
        <v>1000</v>
      </c>
      <c r="C53" s="50">
        <v>225</v>
      </c>
      <c r="D53" s="50">
        <f t="shared" si="6"/>
        <v>100</v>
      </c>
      <c r="E53" s="23">
        <f t="shared" si="5"/>
        <v>1000</v>
      </c>
    </row>
    <row r="54" spans="1:5" x14ac:dyDescent="0.25">
      <c r="A54" s="47" t="s">
        <v>127</v>
      </c>
      <c r="B54" s="50">
        <v>1500</v>
      </c>
      <c r="C54" s="50">
        <v>300</v>
      </c>
      <c r="D54" s="50">
        <f t="shared" si="6"/>
        <v>150</v>
      </c>
      <c r="E54" s="23">
        <f t="shared" si="5"/>
        <v>1500</v>
      </c>
    </row>
    <row r="55" spans="1:5" x14ac:dyDescent="0.25">
      <c r="A55" s="47" t="s">
        <v>126</v>
      </c>
      <c r="B55" s="50">
        <v>2500</v>
      </c>
      <c r="C55" s="50">
        <v>562</v>
      </c>
      <c r="D55" s="50">
        <v>250</v>
      </c>
      <c r="E55" s="23">
        <f t="shared" si="5"/>
        <v>2500</v>
      </c>
    </row>
    <row r="56" spans="1:5" x14ac:dyDescent="0.25">
      <c r="A56" s="47" t="s">
        <v>125</v>
      </c>
      <c r="B56" s="50">
        <v>5000</v>
      </c>
      <c r="C56" s="50">
        <v>1124</v>
      </c>
      <c r="D56" s="50">
        <v>500</v>
      </c>
      <c r="E56" s="23">
        <f t="shared" si="5"/>
        <v>5000</v>
      </c>
    </row>
    <row r="57" spans="1:5" x14ac:dyDescent="0.25">
      <c r="A57" s="47" t="s">
        <v>124</v>
      </c>
      <c r="B57" s="50">
        <v>10000</v>
      </c>
      <c r="C57" s="50">
        <f>B57*0.224</f>
        <v>2240</v>
      </c>
      <c r="D57" s="50">
        <f>B57*0.1</f>
        <v>1000</v>
      </c>
      <c r="E57" s="23">
        <f t="shared" si="5"/>
        <v>10000</v>
      </c>
    </row>
    <row r="58" spans="1:5" x14ac:dyDescent="0.25">
      <c r="A58" s="47" t="s">
        <v>123</v>
      </c>
      <c r="B58" s="50">
        <v>25000</v>
      </c>
      <c r="C58" s="50">
        <f>B58*0.224</f>
        <v>5600</v>
      </c>
      <c r="D58" s="50">
        <f>B58*0.1</f>
        <v>2500</v>
      </c>
      <c r="E58" s="23">
        <f t="shared" si="5"/>
        <v>25000</v>
      </c>
    </row>
    <row r="59" spans="1:5" x14ac:dyDescent="0.25">
      <c r="A59" s="47" t="s">
        <v>122</v>
      </c>
      <c r="B59" s="50">
        <v>50000</v>
      </c>
      <c r="C59" s="50">
        <f>B59*0.224</f>
        <v>11200</v>
      </c>
      <c r="D59" s="50">
        <f>B59*0.1</f>
        <v>5000</v>
      </c>
      <c r="E59" s="23">
        <f t="shared" si="5"/>
        <v>50000</v>
      </c>
    </row>
    <row r="60" spans="1:5" x14ac:dyDescent="0.25">
      <c r="A60" s="47" t="s">
        <v>121</v>
      </c>
      <c r="B60" s="50">
        <v>10</v>
      </c>
      <c r="C60" s="50">
        <v>2</v>
      </c>
      <c r="D60" s="50">
        <v>1</v>
      </c>
      <c r="E60" s="23">
        <f t="shared" si="5"/>
        <v>10</v>
      </c>
    </row>
    <row r="61" spans="1:5" x14ac:dyDescent="0.25">
      <c r="A61" s="47" t="s">
        <v>120</v>
      </c>
      <c r="B61" s="50">
        <v>20</v>
      </c>
      <c r="C61" s="50">
        <v>5</v>
      </c>
      <c r="D61" s="50">
        <v>2</v>
      </c>
      <c r="E61" s="23">
        <f t="shared" si="5"/>
        <v>20</v>
      </c>
    </row>
    <row r="62" spans="1:5" x14ac:dyDescent="0.25">
      <c r="A62" s="47" t="s">
        <v>119</v>
      </c>
      <c r="B62" s="50">
        <v>50</v>
      </c>
      <c r="C62" s="50">
        <v>10</v>
      </c>
      <c r="D62" s="50">
        <v>5</v>
      </c>
      <c r="E62" s="23">
        <f t="shared" si="5"/>
        <v>50</v>
      </c>
    </row>
    <row r="63" spans="1:5" x14ac:dyDescent="0.25">
      <c r="A63" s="47" t="s">
        <v>118</v>
      </c>
      <c r="B63" s="50">
        <v>100</v>
      </c>
      <c r="C63" s="50">
        <v>20</v>
      </c>
      <c r="D63" s="50">
        <v>10</v>
      </c>
      <c r="E63" s="23">
        <f t="shared" si="5"/>
        <v>100</v>
      </c>
    </row>
    <row r="64" spans="1:5" x14ac:dyDescent="0.25">
      <c r="A64" s="47" t="s">
        <v>117</v>
      </c>
      <c r="B64" s="50">
        <v>250</v>
      </c>
      <c r="C64" s="50">
        <v>50</v>
      </c>
      <c r="D64" s="50">
        <v>25</v>
      </c>
      <c r="E64" s="23">
        <f t="shared" si="5"/>
        <v>250</v>
      </c>
    </row>
    <row r="65" spans="1:5" x14ac:dyDescent="0.25">
      <c r="A65" s="47" t="s">
        <v>116</v>
      </c>
      <c r="B65" s="50">
        <v>500</v>
      </c>
      <c r="C65" s="50">
        <v>100</v>
      </c>
      <c r="D65" s="50">
        <v>50</v>
      </c>
      <c r="E65" s="23">
        <f t="shared" si="5"/>
        <v>500</v>
      </c>
    </row>
    <row r="66" spans="1:5" x14ac:dyDescent="0.25">
      <c r="A66" s="47" t="s">
        <v>115</v>
      </c>
      <c r="B66" s="50">
        <v>1000</v>
      </c>
      <c r="C66" s="50">
        <v>200</v>
      </c>
      <c r="D66" s="50">
        <v>100</v>
      </c>
      <c r="E66" s="23">
        <f t="shared" si="5"/>
        <v>1000</v>
      </c>
    </row>
    <row r="67" spans="1:5" x14ac:dyDescent="0.25">
      <c r="A67" s="47" t="s">
        <v>114</v>
      </c>
      <c r="B67" s="50">
        <v>2500</v>
      </c>
      <c r="C67" s="50">
        <v>500</v>
      </c>
      <c r="D67" s="50">
        <v>250</v>
      </c>
      <c r="E67" s="23">
        <f t="shared" si="5"/>
        <v>2500</v>
      </c>
    </row>
    <row r="69" spans="1:5" x14ac:dyDescent="0.25">
      <c r="A69" s="193"/>
      <c r="B69" s="316" t="s">
        <v>338</v>
      </c>
      <c r="C69" s="316"/>
      <c r="D69" s="316"/>
    </row>
    <row r="70" spans="1:5" x14ac:dyDescent="0.25">
      <c r="A70" s="193" t="s">
        <v>339</v>
      </c>
      <c r="B70" s="193" t="s">
        <v>335</v>
      </c>
      <c r="C70" s="193" t="s">
        <v>336</v>
      </c>
      <c r="D70" s="193" t="s">
        <v>337</v>
      </c>
    </row>
    <row r="71" spans="1:5" x14ac:dyDescent="0.25">
      <c r="A71" s="179" t="s">
        <v>312</v>
      </c>
      <c r="B71" s="179">
        <v>50</v>
      </c>
      <c r="C71" s="24" t="s">
        <v>29</v>
      </c>
      <c r="D71" s="24" t="s">
        <v>29</v>
      </c>
    </row>
    <row r="72" spans="1:5" x14ac:dyDescent="0.25">
      <c r="A72" s="179" t="s">
        <v>315</v>
      </c>
      <c r="B72" s="179">
        <v>100</v>
      </c>
      <c r="C72" s="24" t="s">
        <v>29</v>
      </c>
      <c r="D72" s="24" t="s">
        <v>29</v>
      </c>
    </row>
    <row r="73" spans="1:5" x14ac:dyDescent="0.25">
      <c r="A73" s="179" t="s">
        <v>318</v>
      </c>
      <c r="B73" s="179">
        <v>200</v>
      </c>
      <c r="C73" s="24" t="s">
        <v>370</v>
      </c>
      <c r="D73" s="24" t="s">
        <v>370</v>
      </c>
    </row>
    <row r="74" spans="1:5" x14ac:dyDescent="0.25">
      <c r="A74" s="179" t="s">
        <v>319</v>
      </c>
      <c r="B74" s="179">
        <v>300</v>
      </c>
      <c r="C74" s="179">
        <v>50</v>
      </c>
      <c r="D74" s="24" t="s">
        <v>29</v>
      </c>
    </row>
    <row r="75" spans="1:5" x14ac:dyDescent="0.25">
      <c r="A75" s="179" t="s">
        <v>321</v>
      </c>
      <c r="B75" s="179">
        <v>400</v>
      </c>
      <c r="C75" s="24" t="s">
        <v>29</v>
      </c>
      <c r="D75" s="24" t="s">
        <v>29</v>
      </c>
    </row>
    <row r="76" spans="1:5" x14ac:dyDescent="0.25">
      <c r="A76" s="179" t="s">
        <v>320</v>
      </c>
      <c r="B76" s="179">
        <v>500</v>
      </c>
      <c r="C76" s="24" t="s">
        <v>29</v>
      </c>
      <c r="D76" s="24" t="s">
        <v>29</v>
      </c>
    </row>
    <row r="77" spans="1:5" x14ac:dyDescent="0.25">
      <c r="A77" s="179" t="s">
        <v>322</v>
      </c>
      <c r="B77" s="179">
        <v>500</v>
      </c>
      <c r="C77" s="179">
        <v>200</v>
      </c>
      <c r="D77" s="24" t="s">
        <v>29</v>
      </c>
    </row>
    <row r="78" spans="1:5" x14ac:dyDescent="0.25">
      <c r="A78" s="179" t="s">
        <v>324</v>
      </c>
      <c r="B78" s="179">
        <v>500</v>
      </c>
      <c r="C78" s="179">
        <v>300</v>
      </c>
      <c r="D78" s="24" t="s">
        <v>29</v>
      </c>
    </row>
    <row r="79" spans="1:5" x14ac:dyDescent="0.25">
      <c r="A79" s="179" t="s">
        <v>323</v>
      </c>
      <c r="B79" s="179">
        <v>1000</v>
      </c>
      <c r="C79" s="24" t="s">
        <v>29</v>
      </c>
      <c r="D79" s="24" t="s">
        <v>29</v>
      </c>
    </row>
    <row r="80" spans="1:5" x14ac:dyDescent="0.25">
      <c r="A80" s="179" t="s">
        <v>325</v>
      </c>
      <c r="B80" s="179">
        <v>1000</v>
      </c>
      <c r="C80" s="179">
        <v>400</v>
      </c>
      <c r="D80" s="24" t="s">
        <v>29</v>
      </c>
    </row>
    <row r="81" spans="1:4" x14ac:dyDescent="0.25">
      <c r="A81" s="179" t="s">
        <v>326</v>
      </c>
      <c r="B81" s="179">
        <v>2000</v>
      </c>
      <c r="C81" s="24" t="s">
        <v>29</v>
      </c>
      <c r="D81" s="24" t="s">
        <v>29</v>
      </c>
    </row>
    <row r="82" spans="1:4" x14ac:dyDescent="0.25">
      <c r="A82" s="179" t="s">
        <v>327</v>
      </c>
      <c r="B82" s="179">
        <v>2000</v>
      </c>
      <c r="C82" s="179">
        <v>500</v>
      </c>
      <c r="D82" s="24" t="s">
        <v>29</v>
      </c>
    </row>
    <row r="83" spans="1:4" x14ac:dyDescent="0.25">
      <c r="A83" s="179" t="s">
        <v>328</v>
      </c>
      <c r="B83" s="179">
        <v>3000</v>
      </c>
      <c r="C83" s="24" t="s">
        <v>29</v>
      </c>
      <c r="D83" s="24" t="s">
        <v>29</v>
      </c>
    </row>
    <row r="84" spans="1:4" x14ac:dyDescent="0.25">
      <c r="A84" s="179" t="s">
        <v>329</v>
      </c>
      <c r="B84" s="179">
        <v>4000</v>
      </c>
      <c r="C84" s="24" t="s">
        <v>29</v>
      </c>
      <c r="D84" s="24" t="s">
        <v>29</v>
      </c>
    </row>
    <row r="85" spans="1:4" x14ac:dyDescent="0.25">
      <c r="A85" s="179" t="s">
        <v>330</v>
      </c>
      <c r="B85" s="179">
        <v>5000</v>
      </c>
      <c r="C85" s="24" t="s">
        <v>29</v>
      </c>
      <c r="D85" s="24" t="s">
        <v>29</v>
      </c>
    </row>
    <row r="86" spans="1:4" x14ac:dyDescent="0.25">
      <c r="A86" s="179" t="s">
        <v>331</v>
      </c>
      <c r="B86" s="179">
        <v>5000</v>
      </c>
      <c r="C86" s="179">
        <v>1000</v>
      </c>
      <c r="D86" s="24" t="s">
        <v>29</v>
      </c>
    </row>
    <row r="87" spans="1:4" x14ac:dyDescent="0.25">
      <c r="A87" s="179" t="s">
        <v>332</v>
      </c>
      <c r="B87" s="179">
        <v>5000</v>
      </c>
      <c r="C87" s="179">
        <v>3000</v>
      </c>
      <c r="D87" s="24" t="s">
        <v>29</v>
      </c>
    </row>
    <row r="88" spans="1:4" x14ac:dyDescent="0.25">
      <c r="A88" s="179" t="s">
        <v>333</v>
      </c>
      <c r="B88" s="179">
        <v>5000</v>
      </c>
      <c r="C88" s="179">
        <v>4000</v>
      </c>
      <c r="D88" s="179">
        <v>1000</v>
      </c>
    </row>
    <row r="89" spans="1:4" x14ac:dyDescent="0.25">
      <c r="A89" s="179" t="s">
        <v>29</v>
      </c>
      <c r="B89" s="179" t="s">
        <v>29</v>
      </c>
      <c r="C89" s="179" t="s">
        <v>29</v>
      </c>
      <c r="D89" s="179" t="s">
        <v>29</v>
      </c>
    </row>
  </sheetData>
  <mergeCells count="3">
    <mergeCell ref="A26:A27"/>
    <mergeCell ref="B26:D26"/>
    <mergeCell ref="B69:D6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2"/>
  <sheetViews>
    <sheetView workbookViewId="0">
      <selection activeCell="D71" sqref="D71"/>
    </sheetView>
  </sheetViews>
  <sheetFormatPr defaultRowHeight="15" x14ac:dyDescent="0.25"/>
  <cols>
    <col min="1" max="1" width="17" style="14" bestFit="1" customWidth="1"/>
    <col min="2" max="2" width="14.28515625" style="14" bestFit="1" customWidth="1"/>
    <col min="3" max="3" width="20.5703125" style="14" bestFit="1" customWidth="1"/>
    <col min="4" max="16384" width="9.140625" style="14"/>
  </cols>
  <sheetData>
    <row r="1" spans="1:3" x14ac:dyDescent="0.25">
      <c r="A1" s="33" t="s">
        <v>190</v>
      </c>
    </row>
    <row r="2" spans="1:3" x14ac:dyDescent="0.25">
      <c r="A2" s="34" t="s">
        <v>11</v>
      </c>
    </row>
    <row r="3" spans="1:3" x14ac:dyDescent="0.25">
      <c r="A3" s="23" t="s">
        <v>189</v>
      </c>
    </row>
    <row r="4" spans="1:3" x14ac:dyDescent="0.25">
      <c r="A4" s="23" t="s">
        <v>188</v>
      </c>
    </row>
    <row r="6" spans="1:3" x14ac:dyDescent="0.25">
      <c r="A6" s="33" t="s">
        <v>187</v>
      </c>
    </row>
    <row r="7" spans="1:3" x14ac:dyDescent="0.25">
      <c r="A7" s="34" t="s">
        <v>11</v>
      </c>
    </row>
    <row r="8" spans="1:3" x14ac:dyDescent="0.25">
      <c r="A8" s="34" t="s">
        <v>186</v>
      </c>
    </row>
    <row r="9" spans="1:3" x14ac:dyDescent="0.25">
      <c r="A9" s="34" t="s">
        <v>185</v>
      </c>
    </row>
    <row r="10" spans="1:3" x14ac:dyDescent="0.25">
      <c r="A10" s="23" t="s">
        <v>184</v>
      </c>
    </row>
    <row r="11" spans="1:3" x14ac:dyDescent="0.25">
      <c r="A11" s="23" t="s">
        <v>183</v>
      </c>
    </row>
    <row r="12" spans="1:3" x14ac:dyDescent="0.25">
      <c r="A12" s="23" t="s">
        <v>182</v>
      </c>
    </row>
    <row r="13" spans="1:3" x14ac:dyDescent="0.25">
      <c r="A13" s="23" t="s">
        <v>181</v>
      </c>
    </row>
    <row r="15" spans="1:3" x14ac:dyDescent="0.25">
      <c r="A15" s="33" t="s">
        <v>180</v>
      </c>
      <c r="B15" s="33" t="s">
        <v>179</v>
      </c>
      <c r="C15" s="33" t="s">
        <v>154</v>
      </c>
    </row>
    <row r="16" spans="1:3" x14ac:dyDescent="0.25">
      <c r="A16" s="23" t="s">
        <v>11</v>
      </c>
      <c r="B16" s="23"/>
      <c r="C16" s="23"/>
    </row>
    <row r="17" spans="1:3" x14ac:dyDescent="0.25">
      <c r="A17" s="23" t="s">
        <v>178</v>
      </c>
      <c r="B17" s="23">
        <v>381</v>
      </c>
      <c r="C17" s="23">
        <v>500</v>
      </c>
    </row>
    <row r="18" spans="1:3" x14ac:dyDescent="0.25">
      <c r="A18" s="23" t="s">
        <v>177</v>
      </c>
      <c r="B18" s="23">
        <v>762</v>
      </c>
      <c r="C18" s="23">
        <v>1000</v>
      </c>
    </row>
    <row r="19" spans="1:3" x14ac:dyDescent="0.25">
      <c r="A19" s="23" t="s">
        <v>176</v>
      </c>
      <c r="B19" s="23">
        <v>1016</v>
      </c>
      <c r="C19" s="23">
        <v>2500</v>
      </c>
    </row>
    <row r="20" spans="1:3" x14ac:dyDescent="0.25">
      <c r="A20" s="23" t="s">
        <v>175</v>
      </c>
      <c r="B20" s="23">
        <v>1016</v>
      </c>
      <c r="C20" s="23">
        <v>5000</v>
      </c>
    </row>
    <row r="21" spans="1:3" x14ac:dyDescent="0.25">
      <c r="A21" s="23" t="s">
        <v>174</v>
      </c>
      <c r="B21" s="23">
        <v>381</v>
      </c>
      <c r="C21" s="23">
        <v>500</v>
      </c>
    </row>
    <row r="22" spans="1:3" x14ac:dyDescent="0.25">
      <c r="A22" s="23" t="s">
        <v>173</v>
      </c>
      <c r="B22" s="23">
        <v>762</v>
      </c>
      <c r="C22" s="23">
        <v>1000</v>
      </c>
    </row>
    <row r="23" spans="1:3" x14ac:dyDescent="0.25">
      <c r="A23" s="23" t="s">
        <v>172</v>
      </c>
      <c r="B23" s="23">
        <v>1016</v>
      </c>
      <c r="C23" s="23">
        <v>2500</v>
      </c>
    </row>
    <row r="24" spans="1:3" x14ac:dyDescent="0.25">
      <c r="A24" s="23" t="s">
        <v>171</v>
      </c>
      <c r="B24" s="23">
        <v>1016</v>
      </c>
      <c r="C24" s="23">
        <v>5000</v>
      </c>
    </row>
    <row r="25" spans="1:3" x14ac:dyDescent="0.25">
      <c r="A25" s="23" t="s">
        <v>170</v>
      </c>
      <c r="B25" s="23">
        <v>1162</v>
      </c>
      <c r="C25" s="31">
        <v>10000</v>
      </c>
    </row>
    <row r="26" spans="1:3" x14ac:dyDescent="0.25">
      <c r="A26" s="23" t="s">
        <v>169</v>
      </c>
      <c r="B26" s="23">
        <v>1137</v>
      </c>
      <c r="C26" s="31">
        <v>30000</v>
      </c>
    </row>
    <row r="27" spans="1:3" x14ac:dyDescent="0.25">
      <c r="A27" s="23" t="s">
        <v>168</v>
      </c>
      <c r="B27" s="23">
        <v>1111</v>
      </c>
      <c r="C27" s="31">
        <v>50000</v>
      </c>
    </row>
    <row r="28" spans="1:3" x14ac:dyDescent="0.25">
      <c r="A28" s="23" t="s">
        <v>167</v>
      </c>
      <c r="B28" s="23">
        <v>1162</v>
      </c>
      <c r="C28" s="31">
        <v>10000</v>
      </c>
    </row>
    <row r="29" spans="1:3" x14ac:dyDescent="0.25">
      <c r="A29" s="23" t="s">
        <v>166</v>
      </c>
      <c r="B29" s="23">
        <v>1137</v>
      </c>
      <c r="C29" s="31">
        <v>30000</v>
      </c>
    </row>
    <row r="30" spans="1:3" x14ac:dyDescent="0.25">
      <c r="A30" s="23" t="s">
        <v>165</v>
      </c>
      <c r="B30" s="23">
        <v>1111</v>
      </c>
      <c r="C30" s="31">
        <v>50000</v>
      </c>
    </row>
    <row r="31" spans="1:3" x14ac:dyDescent="0.25">
      <c r="A31" s="28" t="s">
        <v>164</v>
      </c>
      <c r="B31" s="28">
        <v>305</v>
      </c>
      <c r="C31" s="31">
        <v>500</v>
      </c>
    </row>
    <row r="32" spans="1:3" x14ac:dyDescent="0.25">
      <c r="A32" s="28" t="s">
        <v>163</v>
      </c>
      <c r="B32" s="28">
        <v>508</v>
      </c>
      <c r="C32" s="31">
        <v>500</v>
      </c>
    </row>
    <row r="33" spans="1:3" x14ac:dyDescent="0.25">
      <c r="A33" s="28" t="s">
        <v>162</v>
      </c>
      <c r="B33" s="28">
        <v>762</v>
      </c>
      <c r="C33" s="31">
        <v>500</v>
      </c>
    </row>
    <row r="34" spans="1:3" x14ac:dyDescent="0.25">
      <c r="A34" s="28" t="s">
        <v>161</v>
      </c>
      <c r="B34" s="28">
        <v>305</v>
      </c>
      <c r="C34" s="31">
        <v>1500</v>
      </c>
    </row>
    <row r="35" spans="1:3" x14ac:dyDescent="0.25">
      <c r="A35" s="28" t="s">
        <v>160</v>
      </c>
      <c r="B35" s="28">
        <v>508</v>
      </c>
      <c r="C35" s="31">
        <v>1500</v>
      </c>
    </row>
    <row r="36" spans="1:3" x14ac:dyDescent="0.25">
      <c r="A36" s="28" t="s">
        <v>159</v>
      </c>
      <c r="B36" s="28">
        <v>762</v>
      </c>
      <c r="C36" s="31">
        <v>1500</v>
      </c>
    </row>
    <row r="37" spans="1:3" x14ac:dyDescent="0.25">
      <c r="A37" s="28" t="s">
        <v>158</v>
      </c>
      <c r="B37" s="28">
        <v>305</v>
      </c>
      <c r="C37" s="31">
        <v>2500</v>
      </c>
    </row>
    <row r="38" spans="1:3" x14ac:dyDescent="0.25">
      <c r="A38" s="28" t="s">
        <v>157</v>
      </c>
      <c r="B38" s="28">
        <v>508</v>
      </c>
      <c r="C38" s="31">
        <v>2500</v>
      </c>
    </row>
    <row r="39" spans="1:3" x14ac:dyDescent="0.25">
      <c r="A39" s="28" t="s">
        <v>156</v>
      </c>
      <c r="B39" s="28">
        <v>762</v>
      </c>
      <c r="C39" s="31">
        <v>2500</v>
      </c>
    </row>
    <row r="41" spans="1:3" x14ac:dyDescent="0.25">
      <c r="A41" s="33" t="s">
        <v>155</v>
      </c>
      <c r="B41" s="33" t="s">
        <v>154</v>
      </c>
      <c r="C41" s="33" t="s">
        <v>304</v>
      </c>
    </row>
    <row r="42" spans="1:3" x14ac:dyDescent="0.25">
      <c r="A42" s="23" t="s">
        <v>11</v>
      </c>
      <c r="B42" s="23"/>
      <c r="C42" s="23" t="s">
        <v>303</v>
      </c>
    </row>
    <row r="43" spans="1:3" x14ac:dyDescent="0.25">
      <c r="A43" s="32" t="s">
        <v>153</v>
      </c>
      <c r="B43" s="23">
        <v>50</v>
      </c>
      <c r="C43" s="23" t="s">
        <v>305</v>
      </c>
    </row>
    <row r="44" spans="1:3" x14ac:dyDescent="0.25">
      <c r="A44" s="32" t="s">
        <v>152</v>
      </c>
      <c r="B44" s="23">
        <v>100</v>
      </c>
      <c r="C44" s="23" t="s">
        <v>305</v>
      </c>
    </row>
    <row r="45" spans="1:3" x14ac:dyDescent="0.25">
      <c r="A45" s="32" t="s">
        <v>151</v>
      </c>
      <c r="B45" s="23">
        <v>200</v>
      </c>
      <c r="C45" s="23" t="s">
        <v>303</v>
      </c>
    </row>
    <row r="46" spans="1:3" x14ac:dyDescent="0.25">
      <c r="A46" s="32" t="s">
        <v>150</v>
      </c>
      <c r="B46" s="23">
        <v>500</v>
      </c>
      <c r="C46" s="23" t="s">
        <v>303</v>
      </c>
    </row>
    <row r="47" spans="1:3" x14ac:dyDescent="0.25">
      <c r="A47" s="32" t="s">
        <v>149</v>
      </c>
      <c r="B47" s="23">
        <v>1000</v>
      </c>
      <c r="C47" s="23" t="s">
        <v>303</v>
      </c>
    </row>
    <row r="48" spans="1:3" x14ac:dyDescent="0.25">
      <c r="A48" s="32" t="s">
        <v>148</v>
      </c>
      <c r="B48" s="23">
        <v>2000</v>
      </c>
      <c r="C48" s="23" t="s">
        <v>303</v>
      </c>
    </row>
    <row r="49" spans="1:3" x14ac:dyDescent="0.25">
      <c r="A49" s="32" t="s">
        <v>147</v>
      </c>
      <c r="B49" s="23">
        <v>2500</v>
      </c>
      <c r="C49" s="23" t="s">
        <v>303</v>
      </c>
    </row>
    <row r="50" spans="1:3" x14ac:dyDescent="0.25">
      <c r="A50" s="32" t="s">
        <v>146</v>
      </c>
      <c r="B50" s="23">
        <v>5000</v>
      </c>
      <c r="C50" s="23" t="s">
        <v>303</v>
      </c>
    </row>
    <row r="51" spans="1:3" x14ac:dyDescent="0.25">
      <c r="A51" s="32" t="s">
        <v>145</v>
      </c>
      <c r="B51" s="23">
        <v>500</v>
      </c>
      <c r="C51" s="23" t="s">
        <v>303</v>
      </c>
    </row>
    <row r="52" spans="1:3" x14ac:dyDescent="0.25">
      <c r="A52" s="32" t="s">
        <v>144</v>
      </c>
      <c r="B52" s="23">
        <v>1000</v>
      </c>
      <c r="C52" s="23" t="s">
        <v>303</v>
      </c>
    </row>
    <row r="53" spans="1:3" x14ac:dyDescent="0.25">
      <c r="A53" s="32" t="s">
        <v>143</v>
      </c>
      <c r="B53" s="23">
        <v>2000</v>
      </c>
      <c r="C53" s="23" t="s">
        <v>303</v>
      </c>
    </row>
    <row r="54" spans="1:3" x14ac:dyDescent="0.25">
      <c r="A54" s="32" t="s">
        <v>142</v>
      </c>
      <c r="B54" s="23">
        <v>2500</v>
      </c>
      <c r="C54" s="23" t="s">
        <v>303</v>
      </c>
    </row>
    <row r="55" spans="1:3" x14ac:dyDescent="0.25">
      <c r="A55" s="32" t="s">
        <v>141</v>
      </c>
      <c r="B55" s="23">
        <v>5000</v>
      </c>
      <c r="C55" s="23" t="s">
        <v>303</v>
      </c>
    </row>
    <row r="56" spans="1:3" x14ac:dyDescent="0.25">
      <c r="A56" s="32" t="s">
        <v>140</v>
      </c>
      <c r="B56" s="23">
        <v>0.5</v>
      </c>
      <c r="C56" s="23" t="s">
        <v>305</v>
      </c>
    </row>
    <row r="57" spans="1:3" x14ac:dyDescent="0.25">
      <c r="A57" s="32" t="s">
        <v>139</v>
      </c>
      <c r="B57" s="23">
        <v>1</v>
      </c>
      <c r="C57" s="23" t="s">
        <v>305</v>
      </c>
    </row>
    <row r="58" spans="1:3" x14ac:dyDescent="0.25">
      <c r="A58" s="32" t="s">
        <v>138</v>
      </c>
      <c r="B58" s="23">
        <v>2</v>
      </c>
      <c r="C58" s="23" t="s">
        <v>305</v>
      </c>
    </row>
    <row r="59" spans="1:3" x14ac:dyDescent="0.25">
      <c r="A59" s="32" t="s">
        <v>137</v>
      </c>
      <c r="B59" s="23">
        <v>5</v>
      </c>
      <c r="C59" s="23" t="s">
        <v>305</v>
      </c>
    </row>
    <row r="60" spans="1:3" x14ac:dyDescent="0.25">
      <c r="A60" s="32" t="s">
        <v>136</v>
      </c>
      <c r="B60" s="23">
        <v>10</v>
      </c>
      <c r="C60" s="23" t="s">
        <v>305</v>
      </c>
    </row>
    <row r="61" spans="1:3" x14ac:dyDescent="0.25">
      <c r="A61" s="32" t="s">
        <v>135</v>
      </c>
      <c r="B61" s="23">
        <v>25</v>
      </c>
      <c r="C61" s="23" t="s">
        <v>305</v>
      </c>
    </row>
    <row r="62" spans="1:3" x14ac:dyDescent="0.25">
      <c r="A62" s="32" t="s">
        <v>134</v>
      </c>
      <c r="B62" s="23">
        <v>50</v>
      </c>
      <c r="C62" s="23" t="s">
        <v>305</v>
      </c>
    </row>
    <row r="63" spans="1:3" x14ac:dyDescent="0.25">
      <c r="A63" s="32" t="s">
        <v>133</v>
      </c>
      <c r="B63" s="23">
        <v>100</v>
      </c>
      <c r="C63" s="23" t="s">
        <v>305</v>
      </c>
    </row>
    <row r="64" spans="1:3" x14ac:dyDescent="0.25">
      <c r="A64" s="32" t="s">
        <v>132</v>
      </c>
      <c r="B64" s="23">
        <v>25</v>
      </c>
      <c r="C64" s="23" t="s">
        <v>303</v>
      </c>
    </row>
    <row r="65" spans="1:3" x14ac:dyDescent="0.25">
      <c r="A65" s="32" t="s">
        <v>131</v>
      </c>
      <c r="B65" s="23">
        <v>125</v>
      </c>
      <c r="C65" s="23" t="s">
        <v>303</v>
      </c>
    </row>
    <row r="66" spans="1:3" x14ac:dyDescent="0.25">
      <c r="A66" s="32" t="s">
        <v>130</v>
      </c>
      <c r="B66" s="23">
        <v>250</v>
      </c>
      <c r="C66" s="23" t="s">
        <v>303</v>
      </c>
    </row>
    <row r="67" spans="1:3" x14ac:dyDescent="0.25">
      <c r="A67" s="32" t="s">
        <v>129</v>
      </c>
      <c r="B67" s="23">
        <v>500</v>
      </c>
      <c r="C67" s="23" t="s">
        <v>303</v>
      </c>
    </row>
    <row r="68" spans="1:3" x14ac:dyDescent="0.25">
      <c r="A68" s="32" t="s">
        <v>128</v>
      </c>
      <c r="B68" s="23">
        <v>1000</v>
      </c>
      <c r="C68" s="23" t="s">
        <v>303</v>
      </c>
    </row>
    <row r="69" spans="1:3" x14ac:dyDescent="0.25">
      <c r="A69" s="32" t="s">
        <v>127</v>
      </c>
      <c r="B69" s="23">
        <v>1500</v>
      </c>
      <c r="C69" s="23" t="s">
        <v>303</v>
      </c>
    </row>
    <row r="70" spans="1:3" x14ac:dyDescent="0.25">
      <c r="A70" s="32" t="s">
        <v>126</v>
      </c>
      <c r="B70" s="23">
        <v>2500</v>
      </c>
      <c r="C70" s="23" t="s">
        <v>303</v>
      </c>
    </row>
    <row r="71" spans="1:3" x14ac:dyDescent="0.25">
      <c r="A71" s="32" t="s">
        <v>125</v>
      </c>
      <c r="B71" s="23">
        <v>5000</v>
      </c>
      <c r="C71" s="23" t="s">
        <v>303</v>
      </c>
    </row>
    <row r="72" spans="1:3" x14ac:dyDescent="0.25">
      <c r="A72" s="32" t="s">
        <v>124</v>
      </c>
      <c r="B72" s="31">
        <v>10000</v>
      </c>
      <c r="C72" s="31" t="s">
        <v>303</v>
      </c>
    </row>
    <row r="73" spans="1:3" x14ac:dyDescent="0.25">
      <c r="A73" s="32" t="s">
        <v>123</v>
      </c>
      <c r="B73" s="31">
        <v>25000</v>
      </c>
      <c r="C73" s="31" t="s">
        <v>303</v>
      </c>
    </row>
    <row r="74" spans="1:3" x14ac:dyDescent="0.25">
      <c r="A74" s="32" t="s">
        <v>122</v>
      </c>
      <c r="B74" s="31">
        <v>50000</v>
      </c>
      <c r="C74" s="31" t="s">
        <v>303</v>
      </c>
    </row>
    <row r="75" spans="1:3" x14ac:dyDescent="0.25">
      <c r="A75" s="32" t="s">
        <v>121</v>
      </c>
      <c r="B75" s="31">
        <v>10</v>
      </c>
      <c r="C75" s="31" t="s">
        <v>305</v>
      </c>
    </row>
    <row r="76" spans="1:3" x14ac:dyDescent="0.25">
      <c r="A76" s="32" t="s">
        <v>120</v>
      </c>
      <c r="B76" s="31">
        <v>20</v>
      </c>
      <c r="C76" s="31" t="s">
        <v>305</v>
      </c>
    </row>
    <row r="77" spans="1:3" x14ac:dyDescent="0.25">
      <c r="A77" s="32" t="s">
        <v>119</v>
      </c>
      <c r="B77" s="31">
        <v>50</v>
      </c>
      <c r="C77" s="31" t="s">
        <v>305</v>
      </c>
    </row>
    <row r="78" spans="1:3" x14ac:dyDescent="0.25">
      <c r="A78" s="32" t="s">
        <v>118</v>
      </c>
      <c r="B78" s="31">
        <v>100</v>
      </c>
      <c r="C78" s="31" t="s">
        <v>305</v>
      </c>
    </row>
    <row r="79" spans="1:3" x14ac:dyDescent="0.25">
      <c r="A79" s="32" t="s">
        <v>117</v>
      </c>
      <c r="B79" s="31">
        <v>250</v>
      </c>
      <c r="C79" s="31" t="s">
        <v>303</v>
      </c>
    </row>
    <row r="80" spans="1:3" x14ac:dyDescent="0.25">
      <c r="A80" s="32" t="s">
        <v>116</v>
      </c>
      <c r="B80" s="31">
        <v>500</v>
      </c>
      <c r="C80" s="31" t="s">
        <v>303</v>
      </c>
    </row>
    <row r="81" spans="1:3" x14ac:dyDescent="0.25">
      <c r="A81" s="32" t="s">
        <v>115</v>
      </c>
      <c r="B81" s="31">
        <v>1000</v>
      </c>
      <c r="C81" s="31" t="s">
        <v>303</v>
      </c>
    </row>
    <row r="82" spans="1:3" x14ac:dyDescent="0.25">
      <c r="A82" s="32" t="s">
        <v>114</v>
      </c>
      <c r="B82" s="31">
        <v>2500</v>
      </c>
      <c r="C82" s="31" t="s">
        <v>303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workbookViewId="0">
      <selection activeCell="D16" sqref="D16:E23"/>
    </sheetView>
  </sheetViews>
  <sheetFormatPr defaultRowHeight="15" x14ac:dyDescent="0.25"/>
  <cols>
    <col min="1" max="1" width="13.42578125" style="96" bestFit="1" customWidth="1"/>
    <col min="2" max="2" width="15" style="97" bestFit="1" customWidth="1"/>
    <col min="3" max="3" width="13.7109375" style="96" bestFit="1" customWidth="1"/>
    <col min="4" max="5" width="10.85546875" style="96" bestFit="1" customWidth="1"/>
    <col min="6" max="6" width="10" style="96" bestFit="1" customWidth="1"/>
    <col min="7" max="7" width="9.28515625" style="96" bestFit="1" customWidth="1"/>
    <col min="8" max="8" width="9.140625" style="96"/>
    <col min="9" max="9" width="16.28515625" style="96" bestFit="1" customWidth="1"/>
    <col min="10" max="10" width="15" style="96" bestFit="1" customWidth="1"/>
    <col min="11" max="11" width="10.5703125" style="96" bestFit="1" customWidth="1"/>
    <col min="12" max="12" width="15.85546875" style="96" bestFit="1" customWidth="1"/>
    <col min="13" max="15" width="9.28515625" style="96" bestFit="1" customWidth="1"/>
    <col min="16" max="16" width="9.140625" style="96"/>
    <col min="17" max="17" width="8" style="96" bestFit="1" customWidth="1"/>
    <col min="18" max="16384" width="9.140625" style="96"/>
  </cols>
  <sheetData>
    <row r="1" spans="1:20" x14ac:dyDescent="0.25">
      <c r="A1" s="98"/>
      <c r="C1" s="98"/>
      <c r="D1" s="98"/>
      <c r="E1" s="98"/>
      <c r="F1" s="98"/>
      <c r="G1" s="98"/>
      <c r="H1" s="98"/>
      <c r="I1" s="98"/>
      <c r="J1" s="98"/>
      <c r="K1" s="98"/>
      <c r="L1" s="98"/>
      <c r="M1" s="98"/>
      <c r="N1" s="400" t="s">
        <v>256</v>
      </c>
      <c r="O1" s="401"/>
      <c r="P1" s="402" t="s">
        <v>257</v>
      </c>
      <c r="Q1" s="403"/>
    </row>
    <row r="2" spans="1:20" ht="45" x14ac:dyDescent="0.25">
      <c r="A2" s="106" t="s">
        <v>211</v>
      </c>
      <c r="B2" s="98" t="s">
        <v>212</v>
      </c>
      <c r="C2" s="106" t="s">
        <v>213</v>
      </c>
      <c r="D2" s="106" t="s">
        <v>214</v>
      </c>
      <c r="E2" s="106" t="s">
        <v>215</v>
      </c>
      <c r="F2" s="106" t="s">
        <v>216</v>
      </c>
      <c r="G2" s="106" t="s">
        <v>217</v>
      </c>
      <c r="H2" s="106" t="s">
        <v>218</v>
      </c>
      <c r="I2" s="106" t="s">
        <v>220</v>
      </c>
      <c r="J2" s="106" t="s">
        <v>221</v>
      </c>
      <c r="K2" s="106" t="s">
        <v>219</v>
      </c>
      <c r="L2" s="106" t="s">
        <v>222</v>
      </c>
      <c r="M2" s="107" t="s">
        <v>258</v>
      </c>
      <c r="N2" s="107" t="s">
        <v>259</v>
      </c>
      <c r="O2" s="107" t="s">
        <v>260</v>
      </c>
      <c r="P2" s="107" t="s">
        <v>261</v>
      </c>
      <c r="Q2" s="107" t="s">
        <v>262</v>
      </c>
    </row>
    <row r="3" spans="1:20" x14ac:dyDescent="0.25">
      <c r="A3" s="101" t="s">
        <v>9</v>
      </c>
      <c r="B3" s="101" t="s">
        <v>30</v>
      </c>
      <c r="C3" s="99" t="s">
        <v>9</v>
      </c>
      <c r="D3" s="100">
        <v>43531</v>
      </c>
      <c r="E3" s="100">
        <v>43897</v>
      </c>
      <c r="F3" s="101">
        <v>131908189</v>
      </c>
      <c r="G3" s="110" t="s">
        <v>29</v>
      </c>
      <c r="H3" s="108" t="s">
        <v>32</v>
      </c>
      <c r="I3" s="101">
        <v>2E-3</v>
      </c>
      <c r="J3" s="101">
        <v>2.5000000000000001E-3</v>
      </c>
      <c r="K3" s="101">
        <v>1.65E-3</v>
      </c>
      <c r="L3" s="101">
        <v>69</v>
      </c>
      <c r="M3" s="105"/>
      <c r="N3" s="105"/>
      <c r="O3" s="105"/>
      <c r="P3" s="105"/>
      <c r="Q3" s="105"/>
    </row>
    <row r="4" spans="1:20" x14ac:dyDescent="0.25">
      <c r="A4" s="101" t="s">
        <v>33</v>
      </c>
      <c r="B4" s="101">
        <v>445580</v>
      </c>
      <c r="C4" s="101" t="s">
        <v>307</v>
      </c>
      <c r="D4" s="100">
        <v>43558</v>
      </c>
      <c r="E4" s="100">
        <v>43924</v>
      </c>
      <c r="F4" s="101" t="s">
        <v>34</v>
      </c>
      <c r="G4" s="110" t="s">
        <v>29</v>
      </c>
      <c r="H4" s="108" t="s">
        <v>35</v>
      </c>
      <c r="I4" s="101" t="s">
        <v>36</v>
      </c>
      <c r="J4" s="102"/>
      <c r="K4" s="102"/>
      <c r="L4" s="102"/>
      <c r="M4" s="105"/>
      <c r="N4" s="105"/>
      <c r="O4" s="105"/>
      <c r="P4" s="105"/>
      <c r="Q4" s="105"/>
    </row>
    <row r="5" spans="1:20" x14ac:dyDescent="0.25">
      <c r="A5" s="101" t="s">
        <v>33</v>
      </c>
      <c r="B5" s="101">
        <v>445580</v>
      </c>
      <c r="C5" s="101" t="s">
        <v>307</v>
      </c>
      <c r="D5" s="100">
        <v>43558</v>
      </c>
      <c r="E5" s="100">
        <v>43924</v>
      </c>
      <c r="F5" s="101" t="s">
        <v>34</v>
      </c>
      <c r="G5" s="110" t="s">
        <v>29</v>
      </c>
      <c r="H5" s="108" t="s">
        <v>37</v>
      </c>
      <c r="I5" s="101">
        <v>1</v>
      </c>
      <c r="J5" s="102"/>
      <c r="K5" s="102"/>
      <c r="L5" s="102"/>
      <c r="M5" s="105"/>
      <c r="N5" s="105"/>
      <c r="O5" s="105"/>
      <c r="P5" s="105"/>
      <c r="Q5" s="105"/>
    </row>
    <row r="6" spans="1:20" x14ac:dyDescent="0.25">
      <c r="A6" s="99" t="s">
        <v>26</v>
      </c>
      <c r="B6" s="99" t="s">
        <v>28</v>
      </c>
      <c r="C6" s="99" t="s">
        <v>26</v>
      </c>
      <c r="D6" s="100">
        <v>43588</v>
      </c>
      <c r="E6" s="100">
        <v>44228</v>
      </c>
      <c r="F6" s="99">
        <v>20254</v>
      </c>
      <c r="G6" s="99" t="s">
        <v>29</v>
      </c>
      <c r="H6" s="99" t="s">
        <v>29</v>
      </c>
      <c r="I6" s="99" t="s">
        <v>29</v>
      </c>
      <c r="J6" s="99"/>
      <c r="K6" s="99"/>
      <c r="L6" s="99"/>
      <c r="M6" s="109"/>
      <c r="N6" s="105"/>
      <c r="O6" s="105"/>
      <c r="P6" s="105"/>
      <c r="Q6" s="105"/>
    </row>
    <row r="7" spans="1:20" ht="15" customHeight="1" x14ac:dyDescent="0.25">
      <c r="A7" s="184" t="s">
        <v>29</v>
      </c>
      <c r="B7" s="184" t="s">
        <v>113</v>
      </c>
      <c r="C7" s="184" t="s">
        <v>29</v>
      </c>
      <c r="D7" s="184" t="s">
        <v>29</v>
      </c>
      <c r="E7" s="184" t="s">
        <v>29</v>
      </c>
      <c r="F7" s="184" t="s">
        <v>29</v>
      </c>
      <c r="G7" s="184" t="s">
        <v>29</v>
      </c>
      <c r="H7" s="184" t="s">
        <v>29</v>
      </c>
      <c r="I7" s="184" t="s">
        <v>29</v>
      </c>
      <c r="J7" s="184" t="s">
        <v>29</v>
      </c>
      <c r="K7" s="184" t="s">
        <v>29</v>
      </c>
      <c r="L7" s="184" t="s">
        <v>29</v>
      </c>
      <c r="M7" s="109"/>
      <c r="N7" s="109"/>
      <c r="O7" s="109"/>
      <c r="P7" s="109"/>
      <c r="Q7" s="109"/>
      <c r="R7" s="404" t="s">
        <v>276</v>
      </c>
      <c r="S7" s="405"/>
      <c r="T7" s="405"/>
    </row>
    <row r="8" spans="1:20" ht="15" customHeight="1" x14ac:dyDescent="0.25">
      <c r="A8" s="99" t="s">
        <v>26</v>
      </c>
      <c r="B8" s="99" t="s">
        <v>223</v>
      </c>
      <c r="C8" s="99" t="s">
        <v>26</v>
      </c>
      <c r="D8" s="100">
        <v>43583</v>
      </c>
      <c r="E8" s="100">
        <v>44228</v>
      </c>
      <c r="F8" s="99">
        <v>465332</v>
      </c>
      <c r="G8" s="99">
        <v>9000</v>
      </c>
      <c r="H8" s="99" t="s">
        <v>27</v>
      </c>
      <c r="I8" s="185">
        <v>6.9999999999999994E-5</v>
      </c>
      <c r="J8" s="185">
        <v>5.0000000000000001E-4</v>
      </c>
      <c r="K8" s="186">
        <v>5.0000000000000001E-4</v>
      </c>
      <c r="L8" s="99">
        <v>74</v>
      </c>
      <c r="M8" s="109"/>
      <c r="N8" s="105"/>
      <c r="O8" s="105"/>
      <c r="P8" s="105"/>
      <c r="Q8" s="105"/>
      <c r="R8" s="404"/>
      <c r="S8" s="405"/>
      <c r="T8" s="405"/>
    </row>
    <row r="9" spans="1:20" x14ac:dyDescent="0.25">
      <c r="A9" s="99" t="s">
        <v>26</v>
      </c>
      <c r="B9" s="99" t="s">
        <v>224</v>
      </c>
      <c r="C9" s="99" t="s">
        <v>26</v>
      </c>
      <c r="D9" s="100">
        <v>43588</v>
      </c>
      <c r="E9" s="100">
        <v>44228</v>
      </c>
      <c r="F9" s="99">
        <v>458932</v>
      </c>
      <c r="G9" s="99">
        <v>250</v>
      </c>
      <c r="H9" s="99" t="s">
        <v>27</v>
      </c>
      <c r="I9" s="185">
        <v>2.0000000000000001E-4</v>
      </c>
      <c r="J9" s="185">
        <v>4.0000000000000002E-4</v>
      </c>
      <c r="K9" s="186">
        <v>4.0000000000000002E-4</v>
      </c>
      <c r="L9" s="99">
        <v>71</v>
      </c>
      <c r="M9" s="109"/>
      <c r="N9" s="105"/>
      <c r="O9" s="105"/>
      <c r="P9" s="105"/>
      <c r="Q9" s="105"/>
      <c r="R9" s="404"/>
      <c r="S9" s="405"/>
      <c r="T9" s="405"/>
    </row>
    <row r="10" spans="1:20" x14ac:dyDescent="0.25">
      <c r="A10" s="99" t="s">
        <v>26</v>
      </c>
      <c r="B10" s="99" t="s">
        <v>225</v>
      </c>
      <c r="C10" s="99" t="s">
        <v>26</v>
      </c>
      <c r="D10" s="100">
        <v>43585</v>
      </c>
      <c r="E10" s="100">
        <v>44228</v>
      </c>
      <c r="F10" s="99">
        <v>465586</v>
      </c>
      <c r="G10" s="99">
        <v>1500</v>
      </c>
      <c r="H10" s="99" t="s">
        <v>27</v>
      </c>
      <c r="I10" s="185">
        <v>6.9999999999999994E-5</v>
      </c>
      <c r="J10" s="185">
        <v>2.5000000000000001E-4</v>
      </c>
      <c r="K10" s="186">
        <v>2.5000000000000001E-4</v>
      </c>
      <c r="L10" s="99">
        <v>70</v>
      </c>
      <c r="M10" s="109"/>
      <c r="N10" s="105"/>
      <c r="O10" s="105"/>
      <c r="P10" s="105"/>
      <c r="Q10" s="105"/>
      <c r="R10" s="404"/>
      <c r="S10" s="405"/>
      <c r="T10" s="405"/>
    </row>
    <row r="11" spans="1:20" x14ac:dyDescent="0.25">
      <c r="A11" s="99" t="s">
        <v>26</v>
      </c>
      <c r="B11" s="99" t="s">
        <v>226</v>
      </c>
      <c r="C11" s="99" t="s">
        <v>26</v>
      </c>
      <c r="D11" s="100">
        <v>43581</v>
      </c>
      <c r="E11" s="100">
        <v>44228</v>
      </c>
      <c r="F11" s="99">
        <v>465625</v>
      </c>
      <c r="G11" s="99">
        <v>4500</v>
      </c>
      <c r="H11" s="99" t="s">
        <v>27</v>
      </c>
      <c r="I11" s="185">
        <v>1.4999999999999999E-4</v>
      </c>
      <c r="J11" s="185">
        <v>5.0000000000000001E-4</v>
      </c>
      <c r="K11" s="186">
        <v>5.0000000000000001E-4</v>
      </c>
      <c r="L11" s="99">
        <v>72</v>
      </c>
      <c r="M11" s="109"/>
      <c r="N11" s="105"/>
      <c r="O11" s="105"/>
      <c r="P11" s="105"/>
      <c r="Q11" s="105"/>
      <c r="R11" s="404"/>
      <c r="S11" s="405"/>
      <c r="T11" s="405"/>
    </row>
    <row r="12" spans="1:20" x14ac:dyDescent="0.25">
      <c r="A12" s="184" t="s">
        <v>29</v>
      </c>
      <c r="B12" s="99" t="s">
        <v>306</v>
      </c>
      <c r="C12" s="184" t="s">
        <v>29</v>
      </c>
      <c r="D12" s="184" t="s">
        <v>29</v>
      </c>
      <c r="E12" s="184" t="s">
        <v>29</v>
      </c>
      <c r="F12" s="184" t="s">
        <v>29</v>
      </c>
      <c r="G12" s="184" t="s">
        <v>29</v>
      </c>
      <c r="H12" s="184" t="s">
        <v>29</v>
      </c>
      <c r="I12" s="184" t="s">
        <v>29</v>
      </c>
      <c r="J12" s="184" t="s">
        <v>29</v>
      </c>
      <c r="K12" s="184" t="s">
        <v>29</v>
      </c>
      <c r="L12" s="184" t="s">
        <v>29</v>
      </c>
      <c r="M12" s="109"/>
      <c r="N12" s="105"/>
      <c r="O12" s="105"/>
      <c r="P12" s="105"/>
      <c r="Q12" s="105"/>
      <c r="R12" s="404"/>
      <c r="S12" s="405"/>
      <c r="T12" s="405"/>
    </row>
    <row r="13" spans="1:20" x14ac:dyDescent="0.25">
      <c r="A13" s="101" t="s">
        <v>263</v>
      </c>
      <c r="B13" s="101" t="s">
        <v>264</v>
      </c>
      <c r="C13" s="101" t="s">
        <v>307</v>
      </c>
      <c r="D13" s="100">
        <v>43809</v>
      </c>
      <c r="E13" s="100">
        <v>44540</v>
      </c>
      <c r="F13" s="101" t="s">
        <v>29</v>
      </c>
      <c r="G13" s="101">
        <v>5000</v>
      </c>
      <c r="H13" s="108" t="s">
        <v>265</v>
      </c>
      <c r="I13" s="101" t="s">
        <v>31</v>
      </c>
      <c r="J13" s="103">
        <f t="shared" ref="J13:J23" si="0">((O13-N13)/G13)*100</f>
        <v>1.1600000000180444E-3</v>
      </c>
      <c r="K13" s="104">
        <f t="shared" ref="K13:K23" si="1">(Q13/G13)*100</f>
        <v>5.8E-4</v>
      </c>
      <c r="L13" s="101">
        <v>71.400000000000006</v>
      </c>
      <c r="M13" s="101">
        <v>5000.0200000000004</v>
      </c>
      <c r="N13" s="101">
        <f>M13-Q13</f>
        <v>4999.991</v>
      </c>
      <c r="O13" s="101">
        <f>M13+Q13</f>
        <v>5000.0490000000009</v>
      </c>
      <c r="P13" s="101"/>
      <c r="Q13" s="101">
        <v>2.9000000000000001E-2</v>
      </c>
      <c r="R13" s="404"/>
      <c r="S13" s="405"/>
      <c r="T13" s="405"/>
    </row>
    <row r="14" spans="1:20" x14ac:dyDescent="0.25">
      <c r="A14" s="101" t="s">
        <v>263</v>
      </c>
      <c r="B14" s="101" t="s">
        <v>266</v>
      </c>
      <c r="C14" s="101" t="s">
        <v>307</v>
      </c>
      <c r="D14" s="100">
        <v>43809</v>
      </c>
      <c r="E14" s="100">
        <v>44540</v>
      </c>
      <c r="F14" s="101" t="s">
        <v>29</v>
      </c>
      <c r="G14" s="101">
        <v>4000</v>
      </c>
      <c r="H14" s="108" t="s">
        <v>265</v>
      </c>
      <c r="I14" s="101" t="s">
        <v>31</v>
      </c>
      <c r="J14" s="103">
        <f t="shared" si="0"/>
        <v>1.449999999999818E-3</v>
      </c>
      <c r="K14" s="104">
        <f t="shared" si="1"/>
        <v>7.2499999999999995E-4</v>
      </c>
      <c r="L14" s="101">
        <v>71.400000000000006</v>
      </c>
      <c r="M14" s="101">
        <v>4000.018</v>
      </c>
      <c r="N14" s="101">
        <f t="shared" ref="N14:N23" si="2">M14-Q14</f>
        <v>3999.989</v>
      </c>
      <c r="O14" s="101">
        <f t="shared" ref="O14:O23" si="3">M14+Q14</f>
        <v>4000.047</v>
      </c>
      <c r="P14" s="101"/>
      <c r="Q14" s="101">
        <v>2.9000000000000001E-2</v>
      </c>
      <c r="R14" s="404"/>
      <c r="S14" s="405"/>
      <c r="T14" s="405"/>
    </row>
    <row r="15" spans="1:20" x14ac:dyDescent="0.25">
      <c r="A15" s="101" t="s">
        <v>263</v>
      </c>
      <c r="B15" s="101" t="s">
        <v>267</v>
      </c>
      <c r="C15" s="101" t="s">
        <v>429</v>
      </c>
      <c r="D15" s="100">
        <v>43906</v>
      </c>
      <c r="E15" s="100">
        <v>44271</v>
      </c>
      <c r="F15" s="101" t="s">
        <v>29</v>
      </c>
      <c r="G15" s="101">
        <v>3000</v>
      </c>
      <c r="H15" s="108" t="s">
        <v>265</v>
      </c>
      <c r="I15" s="101" t="s">
        <v>31</v>
      </c>
      <c r="J15" s="103">
        <f t="shared" si="0"/>
        <v>2.0000000000133392E-3</v>
      </c>
      <c r="K15" s="104">
        <f t="shared" si="1"/>
        <v>1E-3</v>
      </c>
      <c r="L15" s="101">
        <v>71.400000000000006</v>
      </c>
      <c r="M15" s="101">
        <v>3000.0050000000001</v>
      </c>
      <c r="N15" s="101">
        <f t="shared" si="2"/>
        <v>2999.9749999999999</v>
      </c>
      <c r="O15" s="101">
        <f t="shared" si="3"/>
        <v>3000.0350000000003</v>
      </c>
      <c r="P15" s="101"/>
      <c r="Q15" s="101">
        <v>0.03</v>
      </c>
      <c r="R15" s="404"/>
      <c r="S15" s="405"/>
      <c r="T15" s="405"/>
    </row>
    <row r="16" spans="1:20" x14ac:dyDescent="0.25">
      <c r="A16" s="101" t="s">
        <v>263</v>
      </c>
      <c r="B16" s="101" t="s">
        <v>268</v>
      </c>
      <c r="C16" s="101" t="s">
        <v>307</v>
      </c>
      <c r="D16" s="100">
        <v>43809</v>
      </c>
      <c r="E16" s="100">
        <v>44540</v>
      </c>
      <c r="F16" s="101" t="s">
        <v>29</v>
      </c>
      <c r="G16" s="101">
        <v>2000</v>
      </c>
      <c r="H16" s="108" t="s">
        <v>265</v>
      </c>
      <c r="I16" s="101" t="s">
        <v>31</v>
      </c>
      <c r="J16" s="103">
        <f t="shared" si="0"/>
        <v>2.8999999999996359E-3</v>
      </c>
      <c r="K16" s="104">
        <f t="shared" si="1"/>
        <v>1.4499999999999999E-3</v>
      </c>
      <c r="L16" s="101">
        <v>71.400000000000006</v>
      </c>
      <c r="M16" s="101">
        <v>2000.009</v>
      </c>
      <c r="N16" s="101">
        <f t="shared" si="2"/>
        <v>1999.98</v>
      </c>
      <c r="O16" s="101">
        <f t="shared" si="3"/>
        <v>2000.038</v>
      </c>
      <c r="P16" s="101"/>
      <c r="Q16" s="101">
        <v>2.9000000000000001E-2</v>
      </c>
      <c r="R16" s="404"/>
      <c r="S16" s="405"/>
      <c r="T16" s="405"/>
    </row>
    <row r="17" spans="1:20" x14ac:dyDescent="0.25">
      <c r="A17" s="101" t="s">
        <v>263</v>
      </c>
      <c r="B17" s="101" t="s">
        <v>269</v>
      </c>
      <c r="C17" s="101" t="s">
        <v>307</v>
      </c>
      <c r="D17" s="100">
        <v>43809</v>
      </c>
      <c r="E17" s="100">
        <v>44540</v>
      </c>
      <c r="F17" s="101" t="s">
        <v>29</v>
      </c>
      <c r="G17" s="101">
        <v>1000</v>
      </c>
      <c r="H17" s="108" t="s">
        <v>265</v>
      </c>
      <c r="I17" s="101" t="s">
        <v>31</v>
      </c>
      <c r="J17" s="103">
        <f t="shared" si="0"/>
        <v>1.1799999999993816E-3</v>
      </c>
      <c r="K17" s="104">
        <f t="shared" si="1"/>
        <v>5.9000000000000003E-4</v>
      </c>
      <c r="L17" s="101">
        <v>71.400000000000006</v>
      </c>
      <c r="M17" s="101">
        <v>1000.0072</v>
      </c>
      <c r="N17" s="101">
        <f t="shared" si="2"/>
        <v>1000.0013</v>
      </c>
      <c r="O17" s="101">
        <f t="shared" si="3"/>
        <v>1000.0131</v>
      </c>
      <c r="P17" s="101"/>
      <c r="Q17" s="101">
        <v>5.8999999999999999E-3</v>
      </c>
      <c r="R17" s="404"/>
      <c r="S17" s="405"/>
      <c r="T17" s="405"/>
    </row>
    <row r="18" spans="1:20" x14ac:dyDescent="0.25">
      <c r="A18" s="101" t="s">
        <v>263</v>
      </c>
      <c r="B18" s="101" t="s">
        <v>270</v>
      </c>
      <c r="C18" s="101" t="s">
        <v>307</v>
      </c>
      <c r="D18" s="100">
        <v>43809</v>
      </c>
      <c r="E18" s="100">
        <v>44540</v>
      </c>
      <c r="F18" s="101" t="s">
        <v>29</v>
      </c>
      <c r="G18" s="101">
        <v>500</v>
      </c>
      <c r="H18" s="108" t="s">
        <v>265</v>
      </c>
      <c r="I18" s="101" t="s">
        <v>31</v>
      </c>
      <c r="J18" s="103">
        <f t="shared" si="0"/>
        <v>1.4400000000023283E-3</v>
      </c>
      <c r="K18" s="104">
        <f t="shared" si="1"/>
        <v>7.1999999999999994E-4</v>
      </c>
      <c r="L18" s="101">
        <v>71.400000000000006</v>
      </c>
      <c r="M18" s="101">
        <v>500.00619999999998</v>
      </c>
      <c r="N18" s="101">
        <f t="shared" si="2"/>
        <v>500.00259999999997</v>
      </c>
      <c r="O18" s="101">
        <f t="shared" si="3"/>
        <v>500.00979999999998</v>
      </c>
      <c r="P18" s="101"/>
      <c r="Q18" s="101">
        <v>3.5999999999999999E-3</v>
      </c>
      <c r="R18" s="404"/>
      <c r="S18" s="405"/>
      <c r="T18" s="405"/>
    </row>
    <row r="19" spans="1:20" x14ac:dyDescent="0.25">
      <c r="A19" s="101" t="s">
        <v>263</v>
      </c>
      <c r="B19" s="101" t="s">
        <v>271</v>
      </c>
      <c r="C19" s="101" t="s">
        <v>307</v>
      </c>
      <c r="D19" s="100">
        <v>43809</v>
      </c>
      <c r="E19" s="100">
        <v>44540</v>
      </c>
      <c r="F19" s="101" t="s">
        <v>29</v>
      </c>
      <c r="G19" s="101">
        <v>400</v>
      </c>
      <c r="H19" s="108" t="s">
        <v>265</v>
      </c>
      <c r="I19" s="101" t="s">
        <v>31</v>
      </c>
      <c r="J19" s="103">
        <f t="shared" si="0"/>
        <v>1.8000000000029104E-3</v>
      </c>
      <c r="K19" s="104">
        <f t="shared" si="1"/>
        <v>8.9999999999999998E-4</v>
      </c>
      <c r="L19" s="101">
        <v>71.400000000000006</v>
      </c>
      <c r="M19" s="101">
        <v>400.00119999999998</v>
      </c>
      <c r="N19" s="101">
        <f t="shared" si="2"/>
        <v>399.99759999999998</v>
      </c>
      <c r="O19" s="101">
        <f t="shared" si="3"/>
        <v>400.00479999999999</v>
      </c>
      <c r="P19" s="101"/>
      <c r="Q19" s="101">
        <v>3.5999999999999999E-3</v>
      </c>
      <c r="R19" s="404"/>
      <c r="S19" s="405"/>
      <c r="T19" s="405"/>
    </row>
    <row r="20" spans="1:20" x14ac:dyDescent="0.25">
      <c r="A20" s="101" t="s">
        <v>263</v>
      </c>
      <c r="B20" s="101" t="s">
        <v>272</v>
      </c>
      <c r="C20" s="101" t="s">
        <v>307</v>
      </c>
      <c r="D20" s="100">
        <v>43809</v>
      </c>
      <c r="E20" s="100">
        <v>44540</v>
      </c>
      <c r="F20" s="101" t="s">
        <v>29</v>
      </c>
      <c r="G20" s="101">
        <v>300</v>
      </c>
      <c r="H20" s="108" t="s">
        <v>265</v>
      </c>
      <c r="I20" s="101" t="s">
        <v>31</v>
      </c>
      <c r="J20" s="103">
        <f t="shared" si="0"/>
        <v>2.4000000000038804E-3</v>
      </c>
      <c r="K20" s="104">
        <f t="shared" si="1"/>
        <v>1.2000000000000001E-3</v>
      </c>
      <c r="L20" s="101">
        <v>71.400000000000006</v>
      </c>
      <c r="M20" s="101">
        <v>299.98950000000002</v>
      </c>
      <c r="N20" s="101">
        <f t="shared" si="2"/>
        <v>299.98590000000002</v>
      </c>
      <c r="O20" s="101">
        <f t="shared" si="3"/>
        <v>299.99310000000003</v>
      </c>
      <c r="P20" s="101"/>
      <c r="Q20" s="101">
        <v>3.5999999999999999E-3</v>
      </c>
      <c r="R20" s="404"/>
      <c r="S20" s="405"/>
      <c r="T20" s="405"/>
    </row>
    <row r="21" spans="1:20" x14ac:dyDescent="0.25">
      <c r="A21" s="101" t="s">
        <v>263</v>
      </c>
      <c r="B21" s="101" t="s">
        <v>273</v>
      </c>
      <c r="C21" s="101" t="s">
        <v>307</v>
      </c>
      <c r="D21" s="100">
        <v>43809</v>
      </c>
      <c r="E21" s="100">
        <v>44540</v>
      </c>
      <c r="F21" s="101" t="s">
        <v>29</v>
      </c>
      <c r="G21" s="101">
        <v>200</v>
      </c>
      <c r="H21" s="108" t="s">
        <v>265</v>
      </c>
      <c r="I21" s="101" t="s">
        <v>31</v>
      </c>
      <c r="J21" s="103">
        <f t="shared" si="0"/>
        <v>3.6000000000058208E-3</v>
      </c>
      <c r="K21" s="104">
        <f t="shared" si="1"/>
        <v>1.8E-3</v>
      </c>
      <c r="L21" s="101">
        <v>71.400000000000006</v>
      </c>
      <c r="M21" s="101">
        <v>200.00030000000001</v>
      </c>
      <c r="N21" s="101">
        <f t="shared" si="2"/>
        <v>199.9967</v>
      </c>
      <c r="O21" s="101">
        <f t="shared" si="3"/>
        <v>200.00390000000002</v>
      </c>
      <c r="P21" s="101"/>
      <c r="Q21" s="101">
        <v>3.5999999999999999E-3</v>
      </c>
      <c r="R21" s="404"/>
      <c r="S21" s="405"/>
      <c r="T21" s="405"/>
    </row>
    <row r="22" spans="1:20" x14ac:dyDescent="0.25">
      <c r="A22" s="101" t="s">
        <v>263</v>
      </c>
      <c r="B22" s="101" t="s">
        <v>274</v>
      </c>
      <c r="C22" s="101" t="s">
        <v>307</v>
      </c>
      <c r="D22" s="100">
        <v>43809</v>
      </c>
      <c r="E22" s="100">
        <v>44540</v>
      </c>
      <c r="F22" s="101" t="s">
        <v>29</v>
      </c>
      <c r="G22" s="101">
        <v>100</v>
      </c>
      <c r="H22" s="108" t="s">
        <v>265</v>
      </c>
      <c r="I22" s="101" t="s">
        <v>31</v>
      </c>
      <c r="J22" s="103">
        <f t="shared" si="0"/>
        <v>2.1999999999877673E-3</v>
      </c>
      <c r="K22" s="104">
        <f t="shared" si="1"/>
        <v>1.1000000000000001E-3</v>
      </c>
      <c r="L22" s="101">
        <v>71.400000000000006</v>
      </c>
      <c r="M22" s="101">
        <v>100.0005</v>
      </c>
      <c r="N22" s="101">
        <f t="shared" si="2"/>
        <v>99.999400000000009</v>
      </c>
      <c r="O22" s="101">
        <f t="shared" si="3"/>
        <v>100.0016</v>
      </c>
      <c r="P22" s="101"/>
      <c r="Q22" s="101">
        <v>1.1000000000000001E-3</v>
      </c>
      <c r="R22" s="404"/>
      <c r="S22" s="405"/>
      <c r="T22" s="405"/>
    </row>
    <row r="23" spans="1:20" x14ac:dyDescent="0.25">
      <c r="A23" s="101" t="s">
        <v>263</v>
      </c>
      <c r="B23" s="101" t="s">
        <v>275</v>
      </c>
      <c r="C23" s="101" t="s">
        <v>307</v>
      </c>
      <c r="D23" s="100">
        <v>43809</v>
      </c>
      <c r="E23" s="100">
        <v>44540</v>
      </c>
      <c r="F23" s="101" t="s">
        <v>29</v>
      </c>
      <c r="G23" s="101">
        <v>50</v>
      </c>
      <c r="H23" s="108" t="s">
        <v>265</v>
      </c>
      <c r="I23" s="101" t="s">
        <v>31</v>
      </c>
      <c r="J23" s="103">
        <f t="shared" si="0"/>
        <v>2.7200000000107138E-3</v>
      </c>
      <c r="K23" s="104">
        <f t="shared" si="1"/>
        <v>1.3600000000000001E-3</v>
      </c>
      <c r="L23" s="101">
        <v>71.400000000000006</v>
      </c>
      <c r="M23" s="101">
        <v>50.000639999999997</v>
      </c>
      <c r="N23" s="101">
        <f t="shared" si="2"/>
        <v>49.999959999999994</v>
      </c>
      <c r="O23" s="101">
        <f t="shared" si="3"/>
        <v>50.00132</v>
      </c>
      <c r="P23" s="101"/>
      <c r="Q23" s="101">
        <v>6.8000000000000005E-4</v>
      </c>
      <c r="R23" s="404"/>
      <c r="S23" s="405"/>
      <c r="T23" s="405"/>
    </row>
    <row r="29" spans="1:20" x14ac:dyDescent="0.25">
      <c r="B29" s="96"/>
    </row>
    <row r="30" spans="1:20" x14ac:dyDescent="0.25">
      <c r="B30" s="96"/>
    </row>
    <row r="31" spans="1:20" x14ac:dyDescent="0.25">
      <c r="B31" s="96"/>
    </row>
  </sheetData>
  <mergeCells count="3">
    <mergeCell ref="N1:O1"/>
    <mergeCell ref="P1:Q1"/>
    <mergeCell ref="R7:T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Load Test Points</vt:lpstr>
      <vt:lpstr>Drop Down Lists</vt:lpstr>
      <vt:lpstr>Calibration Standards</vt:lpstr>
      <vt:lpstr>Report!Print_Area</vt:lpstr>
    </vt:vector>
  </TitlesOfParts>
  <Company>L. S. Starrett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M. Clinton</dc:creator>
  <cp:lastModifiedBy>James M. Clinton</cp:lastModifiedBy>
  <cp:lastPrinted>2020-03-11T17:32:19Z</cp:lastPrinted>
  <dcterms:created xsi:type="dcterms:W3CDTF">2019-10-09T19:30:18Z</dcterms:created>
  <dcterms:modified xsi:type="dcterms:W3CDTF">2020-03-20T19:11:30Z</dcterms:modified>
</cp:coreProperties>
</file>